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6995" windowHeight="6150" activeTab="0"/>
  </bookViews>
  <sheets>
    <sheet name="P35" sheetId="1" r:id="rId1"/>
    <sheet name="P36-37" sheetId="2" r:id="rId2"/>
    <sheet name="P38" sheetId="3" r:id="rId3"/>
    <sheet name="P39" sheetId="4" r:id="rId4"/>
    <sheet name="P40-41" sheetId="5" r:id="rId5"/>
    <sheet name="P42-43" sheetId="6" r:id="rId6"/>
    <sheet name="P44-45" sheetId="7" r:id="rId7"/>
    <sheet name="P46-47" sheetId="8" r:id="rId8"/>
    <sheet name="P48" sheetId="9" r:id="rId9"/>
    <sheet name="P49" sheetId="10" r:id="rId10"/>
    <sheet name="P50-51" sheetId="11" r:id="rId11"/>
    <sheet name="P52-53" sheetId="12" r:id="rId12"/>
    <sheet name="P54" sheetId="13" r:id="rId13"/>
    <sheet name="P55" sheetId="14" r:id="rId14"/>
    <sheet name="P56-57" sheetId="15" r:id="rId15"/>
    <sheet name="P58-59" sheetId="16" r:id="rId16"/>
    <sheet name="(附録)P60-61" sheetId="17" r:id="rId17"/>
  </sheets>
  <definedNames>
    <definedName name="_xlnm.Print_Area" localSheetId="16">'(附録)P60-61'!$A$1:$V$31</definedName>
    <definedName name="_xlnm.Print_Area" localSheetId="0">'P35'!$A$1:$I$60</definedName>
    <definedName name="_xlnm.Print_Area" localSheetId="1">'P36-37'!$A$1:$P$42</definedName>
    <definedName name="_xlnm.Print_Area" localSheetId="2">'P38'!$A$1:$AY$51</definedName>
    <definedName name="_xlnm.Print_Area" localSheetId="3">'P39'!$A$1:$AT$38</definedName>
    <definedName name="_xlnm.Print_Area" localSheetId="4">'P40-41'!$A$1:$AE$48</definedName>
    <definedName name="_xlnm.Print_Area" localSheetId="6">'P44-45'!$A$1:$V$48</definedName>
    <definedName name="_xlnm.Print_Area" localSheetId="7">'P46-47'!$A$1:$Y$36</definedName>
    <definedName name="_xlnm.Print_Area" localSheetId="8">'P48'!$A$1:$AG$37</definedName>
    <definedName name="_xlnm.Print_Area" localSheetId="9">'P49'!$A$1:$AG$18</definedName>
    <definedName name="_xlnm.Print_Area" localSheetId="10">'P50-51'!$A$1:$DP$40</definedName>
    <definedName name="_xlnm.Print_Area" localSheetId="12">'P54'!$A$1:$K$45</definedName>
    <definedName name="_xlnm.Print_Area" localSheetId="14">'P56-57'!$A$1:$Y$68</definedName>
    <definedName name="_xlnm.Print_Area" localSheetId="15">'P58-59'!$A$1:$DC$43</definedName>
  </definedNames>
  <calcPr fullCalcOnLoad="1"/>
</workbook>
</file>

<file path=xl/sharedStrings.xml><?xml version="1.0" encoding="utf-8"?>
<sst xmlns="http://schemas.openxmlformats.org/spreadsheetml/2006/main" count="1518" uniqueCount="548">
  <si>
    <t>45年</t>
  </si>
  <si>
    <t>50年</t>
  </si>
  <si>
    <t>55年</t>
  </si>
  <si>
    <t>60年</t>
  </si>
  <si>
    <t>7年</t>
  </si>
  <si>
    <t>12年</t>
  </si>
  <si>
    <t>17年</t>
  </si>
  <si>
    <t>新発田市</t>
  </si>
  <si>
    <t>戸</t>
  </si>
  <si>
    <t>％</t>
  </si>
  <si>
    <t>総農家数</t>
  </si>
  <si>
    <t>対前回増減</t>
  </si>
  <si>
    <t>率</t>
  </si>
  <si>
    <t>年　次</t>
  </si>
  <si>
    <t>実　数</t>
  </si>
  <si>
    <t>自給的農家</t>
  </si>
  <si>
    <t>販売農家</t>
  </si>
  <si>
    <t>参考表　　販売農家数の推移（合併4市町村の合算数値）</t>
  </si>
  <si>
    <t>新潟県計</t>
  </si>
  <si>
    <t>計</t>
  </si>
  <si>
    <t>法人化している</t>
  </si>
  <si>
    <t>農事組合法人</t>
  </si>
  <si>
    <t>各種団体</t>
  </si>
  <si>
    <t>その他の法人</t>
  </si>
  <si>
    <t>地方公共団体・財産区</t>
  </si>
  <si>
    <t>小　計</t>
  </si>
  <si>
    <t>会　社</t>
  </si>
  <si>
    <t>法人化していない</t>
  </si>
  <si>
    <t>Ⅰ　農　家</t>
  </si>
  <si>
    <t>新潟県</t>
  </si>
  <si>
    <t>（１）組織形態別農業経営体数</t>
  </si>
  <si>
    <t>（２）農家数の移り変わり</t>
  </si>
  <si>
    <t>（３）販売農家数の推移</t>
  </si>
  <si>
    <t>H　2年</t>
  </si>
  <si>
    <t>区　分</t>
  </si>
  <si>
    <t>販売農家の
対前回増減率</t>
  </si>
  <si>
    <t>％</t>
  </si>
  <si>
    <t>販売農家の
対前回増減数</t>
  </si>
  <si>
    <t>22年</t>
  </si>
  <si>
    <t>※平成12年以前の新発田市の数値には、旧豊浦町、旧紫雲寺町、旧加治川村分を含まない</t>
  </si>
  <si>
    <t>※平成12年以前の数値には、旧豊浦町、旧紫雲寺町、旧加治川村分を含まない</t>
  </si>
  <si>
    <t>※すべての調査年の数値に旧豊浦町、旧紫雲寺町、旧加治川村分を含む</t>
  </si>
  <si>
    <t>　 平成17年は、旧豊浦町分のみ合算されているため、増加しているように見える（旧紫雲寺町、旧加治川村分は含まない）</t>
  </si>
  <si>
    <t>　 平成17年は、旧豊浦町分が合算されているため、増加しているように見える（旧紫雲寺町、旧加治川村分は含まない）</t>
  </si>
  <si>
    <t>‐</t>
  </si>
  <si>
    <t>22年</t>
  </si>
  <si>
    <t>27年</t>
  </si>
  <si>
    <t>S 40年</t>
  </si>
  <si>
    <t>昭和40年を
100とした指数</t>
  </si>
  <si>
    <t>単位：経営体</t>
  </si>
  <si>
    <t xml:space="preserve">   平成22年以降の数値には、旧豊浦町、旧紫雲寺町、旧加治川村分も合算されているため、増加しているように見える</t>
  </si>
  <si>
    <r>
      <t>（４）地区別、経営耕地面積規模別経営体数</t>
    </r>
    <r>
      <rPr>
        <sz val="11"/>
        <rFont val="ＭＳ Ｐ明朝"/>
        <family val="1"/>
      </rPr>
      <t>〔販売農家のみ〕</t>
    </r>
  </si>
  <si>
    <t>区　　分</t>
  </si>
  <si>
    <t>販売農家
総　　数</t>
  </si>
  <si>
    <t>0.1ha未満</t>
  </si>
  <si>
    <t>0.1～0.3</t>
  </si>
  <si>
    <t>0.3～0.5</t>
  </si>
  <si>
    <t>0.5～1.0</t>
  </si>
  <si>
    <t>1.0～1.5</t>
  </si>
  <si>
    <t>1.5～2.0</t>
  </si>
  <si>
    <t>2.0～2.5</t>
  </si>
  <si>
    <t>2.5～3.0</t>
  </si>
  <si>
    <t>3.0～4.0</t>
  </si>
  <si>
    <t>4.0～5.0</t>
  </si>
  <si>
    <t>5.0～10.0</t>
  </si>
  <si>
    <t>10.0～15.0</t>
  </si>
  <si>
    <t>15.0ha以上</t>
  </si>
  <si>
    <t>平成　17年</t>
  </si>
  <si>
    <t>新発田</t>
  </si>
  <si>
    <t>五十公野</t>
  </si>
  <si>
    <t>松 浦</t>
  </si>
  <si>
    <t>米 倉</t>
  </si>
  <si>
    <t>赤 谷</t>
  </si>
  <si>
    <t>川 東</t>
  </si>
  <si>
    <t>菅 谷</t>
  </si>
  <si>
    <t>加 治</t>
  </si>
  <si>
    <t>佐々木</t>
  </si>
  <si>
    <t>豊 浦</t>
  </si>
  <si>
    <t>紫雲寺</t>
  </si>
  <si>
    <t>加治川</t>
  </si>
  <si>
    <r>
      <t>（５）地区別、主副業別農家数</t>
    </r>
    <r>
      <rPr>
        <sz val="11"/>
        <rFont val="ＭＳ Ｐ明朝"/>
        <family val="1"/>
      </rPr>
      <t>〔販売農家のみ〕</t>
    </r>
  </si>
  <si>
    <t>単位：戸</t>
  </si>
  <si>
    <t>主業農家</t>
  </si>
  <si>
    <t>準主業農家</t>
  </si>
  <si>
    <t>副業的農家</t>
  </si>
  <si>
    <t>65歳未満の
農業専従者
がいる</t>
  </si>
  <si>
    <t>新 発 田</t>
  </si>
  <si>
    <t>五十公野</t>
  </si>
  <si>
    <t>松    浦</t>
  </si>
  <si>
    <t>米    倉</t>
  </si>
  <si>
    <t>赤    谷</t>
  </si>
  <si>
    <t>川    東</t>
  </si>
  <si>
    <t>菅    谷</t>
  </si>
  <si>
    <t>加    治</t>
  </si>
  <si>
    <t>佐 々 木</t>
  </si>
  <si>
    <t>豊    浦</t>
  </si>
  <si>
    <t>紫 雲 寺</t>
  </si>
  <si>
    <t>加 治 川</t>
  </si>
  <si>
    <r>
      <t>（６）地区別、専兼業別農家数</t>
    </r>
    <r>
      <rPr>
        <sz val="11"/>
        <rFont val="ＭＳ Ｐ明朝"/>
        <family val="1"/>
      </rPr>
      <t>〔販売農家のみ〕</t>
    </r>
  </si>
  <si>
    <t>専業農家</t>
  </si>
  <si>
    <t>兼業農家</t>
  </si>
  <si>
    <t>男子
生産年齢
人口がいる</t>
  </si>
  <si>
    <t>女子
生産年齢
人口がいる</t>
  </si>
  <si>
    <t>第 １ 種
兼　　業
農　　家</t>
  </si>
  <si>
    <t>第 ２ 種
兼　　業
農　　家</t>
  </si>
  <si>
    <t>H２２年</t>
  </si>
  <si>
    <t>H２７年</t>
  </si>
  <si>
    <r>
      <t>（７）地区別、農業経営部門数別経営体数</t>
    </r>
    <r>
      <rPr>
        <sz val="11"/>
        <rFont val="ＭＳ Ｐ明朝"/>
        <family val="1"/>
      </rPr>
      <t>〔販売農家のみ〕</t>
    </r>
  </si>
  <si>
    <t>（８）地区別、部門別単一経営経営体数</t>
  </si>
  <si>
    <t>単位：経営体</t>
  </si>
  <si>
    <t>〔販売農家のみ〕</t>
  </si>
  <si>
    <t>販売の
あった
経営体数</t>
  </si>
  <si>
    <t>単一経営
経営体数</t>
  </si>
  <si>
    <t>部門別</t>
  </si>
  <si>
    <t>1部門経営経営体数</t>
  </si>
  <si>
    <t>2部門経営経営体数</t>
  </si>
  <si>
    <t>3部門経営経営体数</t>
  </si>
  <si>
    <t>稲作</t>
  </si>
  <si>
    <t>稲作以外</t>
  </si>
  <si>
    <r>
      <t>（９）地区別、農業経営の特色別経営体数</t>
    </r>
    <r>
      <rPr>
        <sz val="11"/>
        <rFont val="ＭＳ Ｐ明朝"/>
        <family val="1"/>
      </rPr>
      <t>〔販売農家のみ〕</t>
    </r>
  </si>
  <si>
    <t>単位：経営体</t>
  </si>
  <si>
    <t>区　　　分</t>
  </si>
  <si>
    <t>環　境　保　全　型　農　業</t>
  </si>
  <si>
    <t>取り組んでいる
（実数）</t>
  </si>
  <si>
    <t>取り組んでいる内容別</t>
  </si>
  <si>
    <t>取り組んで
いない</t>
  </si>
  <si>
    <t>化学肥料
の低減</t>
  </si>
  <si>
    <t>農薬の
低減</t>
  </si>
  <si>
    <t>堆肥による
土作り</t>
  </si>
  <si>
    <t>新 　発　 田</t>
  </si>
  <si>
    <t>五 十 公 野</t>
  </si>
  <si>
    <t>松 　　   浦</t>
  </si>
  <si>
    <t>米  　　  倉</t>
  </si>
  <si>
    <t>赤　　    谷</t>
  </si>
  <si>
    <t>川    　　東</t>
  </si>
  <si>
    <t>菅  　　  谷</t>
  </si>
  <si>
    <t>加   　　 治</t>
  </si>
  <si>
    <t>佐　 々　 木</t>
  </si>
  <si>
    <t>豊   　　 浦</t>
  </si>
  <si>
    <t>紫 　雲　 寺</t>
  </si>
  <si>
    <t>加　 治　 川</t>
  </si>
  <si>
    <t>Ⅱ　農家人口と就業構造</t>
  </si>
  <si>
    <r>
      <t>（1）地区別、年齢階層別農家人口、農業従事者数、農業就業人口及び年齢階層別基幹的農業従事者　　　数</t>
    </r>
    <r>
      <rPr>
        <sz val="11"/>
        <rFont val="ＭＳ Ｐ明朝"/>
        <family val="1"/>
      </rPr>
      <t>〔販売農家のみ〕</t>
    </r>
  </si>
  <si>
    <t xml:space="preserve">       単位：人</t>
  </si>
  <si>
    <t>区　　　　　分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</si>
  <si>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</si>
  <si>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</si>
  <si>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</si>
  <si>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</si>
  <si>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</si>
  <si>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</si>
  <si>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</si>
  <si>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</si>
  <si>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</si>
  <si>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</si>
  <si>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</si>
  <si>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</si>
  <si>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</si>
  <si>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うち男</t>
  </si>
  <si>
    <t>合　計</t>
  </si>
  <si>
    <t>農家人口</t>
  </si>
  <si>
    <t>　うち農業従事者数</t>
  </si>
  <si>
    <t>　うち農業就業者数</t>
  </si>
  <si>
    <t>　うち基幹的農業従事者数</t>
  </si>
  <si>
    <t>松　浦</t>
  </si>
  <si>
    <t>米　倉</t>
  </si>
  <si>
    <t>赤　谷</t>
  </si>
  <si>
    <t>川　東</t>
  </si>
  <si>
    <t>菅　谷</t>
  </si>
  <si>
    <t>加　治</t>
  </si>
  <si>
    <t>豊　浦</t>
  </si>
  <si>
    <t>※（1）「農家人口」の計には、14歳以下の人口も含んでいる。</t>
  </si>
  <si>
    <t>　 （2）「基幹的農業従事者」は、合計のみ掲載した。</t>
  </si>
  <si>
    <r>
      <t>（２）地区別、就業状態別世帯員数</t>
    </r>
    <r>
      <rPr>
        <sz val="11"/>
        <rFont val="ＭＳ Ｐ明朝"/>
        <family val="1"/>
      </rPr>
      <t>〔販売農家のみ〕</t>
    </r>
  </si>
  <si>
    <t>単位：人</t>
  </si>
  <si>
    <t>総　　　　　　　　　　数</t>
  </si>
  <si>
    <t>う　　　ち　　　　　　男</t>
  </si>
  <si>
    <t>主に仕事</t>
  </si>
  <si>
    <t>家事・育児
が主の人</t>
  </si>
  <si>
    <t>その他（学生・
高齢者など）</t>
  </si>
  <si>
    <t>その他
（学生・
高齢者など）</t>
  </si>
  <si>
    <t>小計</t>
  </si>
  <si>
    <t>自営農業が主</t>
  </si>
  <si>
    <t>勤務が主</t>
  </si>
  <si>
    <t>農業以外の
自営業が主</t>
  </si>
  <si>
    <t>自営農業
が主</t>
  </si>
  <si>
    <r>
      <t xml:space="preserve">合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　計</t>
    </r>
  </si>
  <si>
    <r>
      <t>新 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田</t>
    </r>
  </si>
  <si>
    <r>
      <t>松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浦</t>
    </r>
  </si>
  <si>
    <r>
      <t>米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倉</t>
    </r>
  </si>
  <si>
    <r>
      <t xml:space="preserve">赤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谷</t>
    </r>
  </si>
  <si>
    <r>
      <t xml:space="preserve">川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東</t>
    </r>
  </si>
  <si>
    <r>
      <t xml:space="preserve">菅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谷</t>
    </r>
  </si>
  <si>
    <r>
      <t xml:space="preserve">加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治</t>
    </r>
  </si>
  <si>
    <r>
      <t>佐 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木</t>
    </r>
  </si>
  <si>
    <r>
      <t>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浦</t>
    </r>
  </si>
  <si>
    <r>
      <t>紫 雲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寺</t>
    </r>
  </si>
  <si>
    <r>
      <t>加 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</si>
  <si>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>（3）地区別、経営者の平均年齢〔販売農家のみ〕</t>
  </si>
  <si>
    <t>単位：歳</t>
  </si>
  <si>
    <t>経　　　　　営　　　　　者</t>
  </si>
  <si>
    <t>男女計の平均年齢</t>
  </si>
  <si>
    <t>男の平均年齢</t>
  </si>
  <si>
    <t>女の平均年齢</t>
  </si>
  <si>
    <r>
      <t>（４）地区別、自営農業に従事した日数別の農業従事者数、農業就業人口及び平均年齢　</t>
    </r>
    <r>
      <rPr>
        <sz val="11"/>
        <rFont val="ＭＳ Ｐ明朝"/>
        <family val="1"/>
      </rPr>
      <t>〔販売　　農家のみ〕</t>
    </r>
  </si>
  <si>
    <t>区　　　　分</t>
  </si>
  <si>
    <t>総数（人）</t>
  </si>
  <si>
    <t>男   （人）</t>
  </si>
  <si>
    <t>女   （人）</t>
  </si>
  <si>
    <t>平均年齢  （歳）</t>
  </si>
  <si>
    <t>29日以下</t>
  </si>
  <si>
    <t>30～59</t>
  </si>
  <si>
    <t>60～99</t>
  </si>
  <si>
    <t>100～149</t>
  </si>
  <si>
    <t>150～199</t>
  </si>
  <si>
    <t>200～249</t>
  </si>
  <si>
    <t>250日以上</t>
  </si>
  <si>
    <t>男女計</t>
  </si>
  <si>
    <t>男</t>
  </si>
  <si>
    <t>女</t>
  </si>
  <si>
    <t>農業従事者</t>
  </si>
  <si>
    <t>農業就業人口</t>
  </si>
  <si>
    <t>松     浦</t>
  </si>
  <si>
    <t>米     倉</t>
  </si>
  <si>
    <t>赤     谷</t>
  </si>
  <si>
    <t>川     東</t>
  </si>
  <si>
    <t>菅     谷</t>
  </si>
  <si>
    <t>加     治</t>
  </si>
  <si>
    <t>豊     浦</t>
  </si>
  <si>
    <r>
      <t>（５）地区別、年齢階層別、同居農業後継者数及び同居後継者の平均年齢</t>
    </r>
    <r>
      <rPr>
        <sz val="11"/>
        <rFont val="ＭＳ Ｐ明朝"/>
        <family val="1"/>
      </rPr>
      <t xml:space="preserve">〔販売農家のみ〕          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>単位：人、歳</t>
    </r>
  </si>
  <si>
    <r>
      <t>（６）地区別、他出（同居していない）農業後継者がいる農家数</t>
    </r>
    <r>
      <rPr>
        <sz val="11"/>
        <rFont val="ＭＳ Ｐ明朝"/>
        <family val="1"/>
      </rPr>
      <t>〔販売農家のみ〕</t>
    </r>
  </si>
  <si>
    <t>同　居　農　業　後　継　者　（人）</t>
  </si>
  <si>
    <t>同居後継者の平均年齢（歳）</t>
  </si>
  <si>
    <t>他出（同居していない）農業後継者がいる農家数（戸）</t>
  </si>
  <si>
    <t>50歳以上</t>
  </si>
  <si>
    <t>合　　　計</t>
  </si>
  <si>
    <t>-</t>
  </si>
  <si>
    <t>-</t>
  </si>
  <si>
    <t>Ⅲ　土地</t>
  </si>
  <si>
    <r>
      <t>（１）地区別、経営耕地の状況</t>
    </r>
    <r>
      <rPr>
        <sz val="11"/>
        <rFont val="ＭＳ Ｐ明朝"/>
        <family val="1"/>
      </rPr>
      <t>〔販売農家のみ〕</t>
    </r>
  </si>
  <si>
    <t>経営耕地総面積</t>
  </si>
  <si>
    <t>田</t>
  </si>
  <si>
    <t>畑</t>
  </si>
  <si>
    <t>樹園地</t>
  </si>
  <si>
    <t>田のある経営体数</t>
  </si>
  <si>
    <t>面積計</t>
  </si>
  <si>
    <t>稲を作った田</t>
  </si>
  <si>
    <t>稲以外の作物        
だけを作った田</t>
  </si>
  <si>
    <t>何も作らなかった田</t>
  </si>
  <si>
    <t>畑のある経営体数</t>
  </si>
  <si>
    <t xml:space="preserve">  面積計</t>
  </si>
  <si>
    <t>普通作物を作った畑</t>
  </si>
  <si>
    <t>飼料用作物だけを作った畑</t>
  </si>
  <si>
    <t>牧草専用地</t>
  </si>
  <si>
    <t>何も作らなかった畑</t>
  </si>
  <si>
    <t>樹園地   のある    経営体数</t>
  </si>
  <si>
    <t>面　積</t>
  </si>
  <si>
    <t>食用</t>
  </si>
  <si>
    <t>飼料用</t>
  </si>
  <si>
    <t>経営体数</t>
  </si>
  <si>
    <t>経営体数</t>
  </si>
  <si>
    <t>単　位</t>
  </si>
  <si>
    <t>a</t>
  </si>
  <si>
    <t>経営体</t>
  </si>
  <si>
    <t>※「稲を作った田」のうち「食用」及び「飼料用」の区分は、平成27年調査から始まったため、平成22年の調査結果は　　　ない。</t>
  </si>
  <si>
    <t>（２）地区別、耕地の類別、借入耕地のある経営体数、借入耕地面積〔販売農家のみ〕</t>
  </si>
  <si>
    <t>樹　園　地</t>
  </si>
  <si>
    <t>実経営体数</t>
  </si>
  <si>
    <t>面　　積</t>
  </si>
  <si>
    <t>松　　 浦</t>
  </si>
  <si>
    <t>米　 　倉</t>
  </si>
  <si>
    <t>赤　 　谷</t>
  </si>
  <si>
    <t>川　 　東</t>
  </si>
  <si>
    <t>菅　 　谷</t>
  </si>
  <si>
    <t>加　 　治</t>
  </si>
  <si>
    <t>豊　 　浦</t>
  </si>
  <si>
    <t>（３）地区別、耕地の類別、貸付耕地のある経営体数、貸付耕地面積〔販売農家のみ〕</t>
  </si>
  <si>
    <t>（４）地区別、耕地の類別、耕作放棄地のある経営体数、耕作放棄地面積〔販売農家のみ〕</t>
  </si>
  <si>
    <t>経営体</t>
  </si>
  <si>
    <t>（５）地区別、借入耕地面積規模別経営体数、借入耕地面積〔販売農家のみ〕</t>
  </si>
  <si>
    <t>借入
耕地
なし
（経営体）</t>
  </si>
  <si>
    <t>　　　　　　　　　　　　　　　　　　　　　　　　　　　　　　　　　　　借　入　耕　地　　　　　の　面　積　規　模　別</t>
  </si>
  <si>
    <t>借入耕地
のある
経営体数
（経営体）</t>
  </si>
  <si>
    <t>借入耕地
総面積
（ａ）</t>
  </si>
  <si>
    <t>0.5ｈａ未満</t>
  </si>
  <si>
    <t>0.5～1.0ｈａ</t>
  </si>
  <si>
    <t>1.0～1.5</t>
  </si>
  <si>
    <t>1.5～2.0</t>
  </si>
  <si>
    <t>2.0～3.0</t>
  </si>
  <si>
    <t>3.0～4.0</t>
  </si>
  <si>
    <t>4.0～5.0</t>
  </si>
  <si>
    <t>5.0～10.0</t>
  </si>
  <si>
    <t>10.0～15.0</t>
  </si>
  <si>
    <t>15.0ｈａ以上</t>
  </si>
  <si>
    <t>経営体数
（経営体）</t>
  </si>
  <si>
    <t>面積
（ａ）</t>
  </si>
  <si>
    <t>松   浦</t>
  </si>
  <si>
    <t>米   倉</t>
  </si>
  <si>
    <t>赤   谷</t>
  </si>
  <si>
    <t>川   東</t>
  </si>
  <si>
    <t>菅   谷</t>
  </si>
  <si>
    <t>加   治</t>
  </si>
  <si>
    <t>佐 々木</t>
  </si>
  <si>
    <t>豊   浦</t>
  </si>
  <si>
    <t>（６）地区別、貸付耕地面積規模別経営体数、貸付耕地面積〔販売農家のみ〕</t>
  </si>
  <si>
    <t>貸付耕地
なし
（経営体）</t>
  </si>
  <si>
    <t>　　　　　　　　　　　　　　　　　　　　　　　　　　　　　　　貸　付　耕　地　　　　の　面　積　規　模　別</t>
  </si>
  <si>
    <t>貸付耕地
のある
経営体数
（経営体）</t>
  </si>
  <si>
    <t>貸付耕地
総面積
（ａ）</t>
  </si>
  <si>
    <t>0.1ｈａ未満</t>
  </si>
  <si>
    <t>0.1～0.3ｈａ</t>
  </si>
  <si>
    <t>0.3～0.5</t>
  </si>
  <si>
    <t>0.5～1.0</t>
  </si>
  <si>
    <t>3.0ｈａ以上</t>
  </si>
  <si>
    <t>（７）地区別、耕作放棄地面積規模別経営体数、耕作放棄地面積〔販売農家のみ〕</t>
  </si>
  <si>
    <t>区　分</t>
  </si>
  <si>
    <t>耕作放棄地　な　し
（経営体）</t>
  </si>
  <si>
    <t>　　　　　　　　　　　　　　　　　　　　　　　　　　　　　　　　耕　作　放　棄　地　　　　　　の　面　積　規　模　別</t>
  </si>
  <si>
    <t>耕作放棄地のある
経営体数
（経営体）</t>
  </si>
  <si>
    <t>耕作放棄地総面積
（ａ）</t>
  </si>
  <si>
    <t>5ａ未満</t>
  </si>
  <si>
    <t>5～10ａ</t>
  </si>
  <si>
    <t>10～20ａ</t>
  </si>
  <si>
    <t>20～30ａ</t>
  </si>
  <si>
    <t>30～40ａ</t>
  </si>
  <si>
    <t>40～50ａ</t>
  </si>
  <si>
    <t>50ａ～1.0ｈａ</t>
  </si>
  <si>
    <t>1.0ｈａ以上</t>
  </si>
  <si>
    <t>合　計</t>
  </si>
  <si>
    <t>新 発 田</t>
  </si>
  <si>
    <t>五十公野</t>
  </si>
  <si>
    <t>松　   浦</t>
  </si>
  <si>
    <t>米　   倉</t>
  </si>
  <si>
    <t>赤   　谷</t>
  </si>
  <si>
    <t>川　   東</t>
  </si>
  <si>
    <t>菅   　谷</t>
  </si>
  <si>
    <t>加   　治</t>
  </si>
  <si>
    <t>佐 々 木</t>
  </si>
  <si>
    <t>豊   　浦</t>
  </si>
  <si>
    <t>紫 雲 寺</t>
  </si>
  <si>
    <t>加 治 川</t>
  </si>
  <si>
    <t>Ⅳ　農業用機械</t>
  </si>
  <si>
    <r>
      <t>（１）地区別、農業用機械を所有している経営体数と所有台数</t>
    </r>
    <r>
      <rPr>
        <sz val="11"/>
        <rFont val="ＭＳ Ｐ明朝"/>
        <family val="1"/>
      </rPr>
      <t>〔販売農家のみ〕</t>
    </r>
  </si>
  <si>
    <t>動力田植機</t>
  </si>
  <si>
    <t>トラクター</t>
  </si>
  <si>
    <t>コンバイン</t>
  </si>
  <si>
    <t>経営体数</t>
  </si>
  <si>
    <t>台　数</t>
  </si>
  <si>
    <t>合　　計</t>
  </si>
  <si>
    <t>Ⅴ　農産物販売と生産</t>
  </si>
  <si>
    <r>
      <t>（１）地区別、農産物販売金額規模別農家数</t>
    </r>
    <r>
      <rPr>
        <sz val="11"/>
        <rFont val="ＭＳ Ｐ明朝"/>
        <family val="1"/>
      </rPr>
      <t>〔販売農家のみ〕</t>
    </r>
  </si>
  <si>
    <t>単位：戸　</t>
  </si>
  <si>
    <t>区分</t>
  </si>
  <si>
    <t>販売なし</t>
  </si>
  <si>
    <t>50万円</t>
  </si>
  <si>
    <t>1,000万円</t>
  </si>
  <si>
    <t>未　満</t>
  </si>
  <si>
    <t>～100</t>
  </si>
  <si>
    <t>～300</t>
  </si>
  <si>
    <t>～500</t>
  </si>
  <si>
    <t>～700</t>
  </si>
  <si>
    <t>～1,000</t>
  </si>
  <si>
    <t>以　　上</t>
  </si>
  <si>
    <t>-</t>
  </si>
  <si>
    <t>（２）地区別、販売目的で作付け（栽培）した作物の類別作付（栽培）経営体数〔販売農家のみ〕</t>
  </si>
  <si>
    <t>作付（栽培）
実経営体数</t>
  </si>
  <si>
    <t>稲</t>
  </si>
  <si>
    <t>麦類</t>
  </si>
  <si>
    <t>雑穀</t>
  </si>
  <si>
    <t>いも類</t>
  </si>
  <si>
    <t>豆類</t>
  </si>
  <si>
    <t>工　芸　　農作物</t>
  </si>
  <si>
    <t>野菜類</t>
  </si>
  <si>
    <t>花き類　・花木</t>
  </si>
  <si>
    <t>果樹類</t>
  </si>
  <si>
    <t>その他
の作物</t>
  </si>
  <si>
    <t>合 　　計</t>
  </si>
  <si>
    <t>松 　　浦</t>
  </si>
  <si>
    <t>赤　   谷</t>
  </si>
  <si>
    <t>川　   東</t>
  </si>
  <si>
    <t>菅   　谷</t>
  </si>
  <si>
    <t>加   　治</t>
  </si>
  <si>
    <t>豊   　浦</t>
  </si>
  <si>
    <r>
      <t>（３）地区別、販売目的で作付け（栽培）した作物の類別作付（栽培）面積</t>
    </r>
    <r>
      <rPr>
        <sz val="11"/>
        <rFont val="ＭＳ Ｐ明朝"/>
        <family val="1"/>
      </rPr>
      <t>〔販売農家のみ〕</t>
    </r>
  </si>
  <si>
    <t>単位：ａ</t>
  </si>
  <si>
    <t>作付（栽培）
面積</t>
  </si>
  <si>
    <t>X</t>
  </si>
  <si>
    <r>
      <t>（４）販売目的で栽培した果樹の品目別栽培経営体数</t>
    </r>
    <r>
      <rPr>
        <sz val="11"/>
        <rFont val="ＭＳ 明朝"/>
        <family val="1"/>
      </rPr>
      <t>〔販売農家のみ〕</t>
    </r>
  </si>
  <si>
    <r>
      <t>（８）地区別、農産物出荷先別経営体数</t>
    </r>
    <r>
      <rPr>
        <sz val="11"/>
        <rFont val="ＭＳ 明朝"/>
        <family val="1"/>
      </rPr>
      <t>〔販売農家のみ〕</t>
    </r>
  </si>
  <si>
    <t>栽培実経営体数（計）</t>
  </si>
  <si>
    <t>りんご</t>
  </si>
  <si>
    <t>ぶどう</t>
  </si>
  <si>
    <t>日本なし</t>
  </si>
  <si>
    <t>西洋なし</t>
  </si>
  <si>
    <t>農産物の
販売をした
実経営体数</t>
  </si>
  <si>
    <t>農　産　物　の　出　荷　先　別</t>
  </si>
  <si>
    <t>農　協</t>
  </si>
  <si>
    <t>農協以外の集出荷団体</t>
  </si>
  <si>
    <t>卸売市場</t>
  </si>
  <si>
    <t>小売業者</t>
  </si>
  <si>
    <t>食品
製造業・
外食産業</t>
  </si>
  <si>
    <t>消費者に
直接販売</t>
  </si>
  <si>
    <t>その他</t>
  </si>
  <si>
    <t>インターネットによる販売</t>
  </si>
  <si>
    <t>もも</t>
  </si>
  <si>
    <t>おうとう</t>
  </si>
  <si>
    <t>かき</t>
  </si>
  <si>
    <t>くり</t>
  </si>
  <si>
    <t>うめ</t>
  </si>
  <si>
    <t>すもも</t>
  </si>
  <si>
    <t>キウイフルーツ</t>
  </si>
  <si>
    <t>その他の果樹</t>
  </si>
  <si>
    <r>
      <t>（５）販売目的で栽培した花き類の品目別栽培経営体数</t>
    </r>
    <r>
      <rPr>
        <sz val="11"/>
        <rFont val="ＭＳ 明朝"/>
        <family val="1"/>
      </rPr>
      <t>〔販売農家のみ〕</t>
    </r>
  </si>
  <si>
    <t>切り花類</t>
  </si>
  <si>
    <t>球根類</t>
  </si>
  <si>
    <t>鉢もの類</t>
  </si>
  <si>
    <t>花壇用苗もの類</t>
  </si>
  <si>
    <r>
      <t>（６）家畜等を販売目的で飼養している経営体数と飼養頭羽数</t>
    </r>
    <r>
      <rPr>
        <sz val="11"/>
        <rFont val="ＭＳ Ｐ明朝"/>
        <family val="1"/>
      </rPr>
      <t>〔販売農家のみ〕</t>
    </r>
  </si>
  <si>
    <t>乳用牛</t>
  </si>
  <si>
    <t>肉用牛</t>
  </si>
  <si>
    <t>豚</t>
  </si>
  <si>
    <t>採卵鶏</t>
  </si>
  <si>
    <t>きのこの栽培、
その他の農業経営</t>
  </si>
  <si>
    <t>飼養経営体数
（経営体）</t>
  </si>
  <si>
    <t>飼養頭数
（頭）</t>
  </si>
  <si>
    <r>
      <rPr>
        <sz val="6"/>
        <rFont val="ＭＳ Ｐゴシック"/>
        <family val="3"/>
      </rPr>
      <t>飼養実経営体数</t>
    </r>
    <r>
      <rPr>
        <sz val="7"/>
        <rFont val="ＭＳ Ｐゴシック"/>
        <family val="3"/>
      </rPr>
      <t xml:space="preserve">
(経営体)</t>
    </r>
  </si>
  <si>
    <t>飼養経営体数
(経営体)</t>
  </si>
  <si>
    <t>飼養羽数
（羽）</t>
  </si>
  <si>
    <t>栽培経営体数
(経営体)</t>
  </si>
  <si>
    <r>
      <t>（7）地区別、農産物販売金額１位の部門別経営体数</t>
    </r>
    <r>
      <rPr>
        <sz val="11"/>
        <rFont val="ＭＳ Ｐ明朝"/>
        <family val="1"/>
      </rPr>
      <t>〔販売農家のみ〕</t>
    </r>
  </si>
  <si>
    <t>区　　　分</t>
  </si>
  <si>
    <t>計</t>
  </si>
  <si>
    <t>稲  作</t>
  </si>
  <si>
    <t>麦類作</t>
  </si>
  <si>
    <t>雑穀・
いも類
・豆類</t>
  </si>
  <si>
    <t>工   芸        農作物</t>
  </si>
  <si>
    <t>露地野菜</t>
  </si>
  <si>
    <t>施設野菜</t>
  </si>
  <si>
    <t>果樹類</t>
  </si>
  <si>
    <t>花き・     花 木</t>
  </si>
  <si>
    <t>その他の
作　　物</t>
  </si>
  <si>
    <t>酪  農</t>
  </si>
  <si>
    <t>肉用牛</t>
  </si>
  <si>
    <t>養  豚</t>
  </si>
  <si>
    <t>養  鶏</t>
  </si>
  <si>
    <t>養  蚕</t>
  </si>
  <si>
    <t>その他の　畜　　産</t>
  </si>
  <si>
    <t>合　　　計</t>
  </si>
  <si>
    <t>新 　発　 田</t>
  </si>
  <si>
    <t>-</t>
  </si>
  <si>
    <t>五 十 公 野</t>
  </si>
  <si>
    <t>松　　   浦</t>
  </si>
  <si>
    <t>米　   　倉</t>
  </si>
  <si>
    <t>赤   　　谷</t>
  </si>
  <si>
    <t>川　　   東</t>
  </si>
  <si>
    <t>菅 　  　谷</t>
  </si>
  <si>
    <t>加   　　治</t>
  </si>
  <si>
    <t>佐  々  木</t>
  </si>
  <si>
    <t>豊   　　浦</t>
  </si>
  <si>
    <t>紫  雲  寺</t>
  </si>
  <si>
    <t>加  治  川</t>
  </si>
  <si>
    <t>Ⅵ　農作業の受・委託</t>
  </si>
  <si>
    <r>
      <t>（１）地区別、水稲作の作業種類別委託経営体数</t>
    </r>
    <r>
      <rPr>
        <sz val="11"/>
        <rFont val="ＭＳ Ｐ明朝"/>
        <family val="1"/>
      </rPr>
      <t>〔販売農家のみ〕</t>
    </r>
  </si>
  <si>
    <r>
      <t>（３）農作業の受託料金収入規模別経営体数</t>
    </r>
    <r>
      <rPr>
        <sz val="11"/>
        <rFont val="ＭＳ Ｐ明朝"/>
        <family val="1"/>
      </rPr>
      <t>〔販売農家のみ〕</t>
    </r>
  </si>
  <si>
    <t>作業を
委託した
実経営体数
（計）</t>
  </si>
  <si>
    <t>全作業を
委託</t>
  </si>
  <si>
    <t>部分作業を委託</t>
  </si>
  <si>
    <t>収入なし</t>
  </si>
  <si>
    <t>５０万円
未満</t>
  </si>
  <si>
    <t>５０～
１００
万円未満</t>
  </si>
  <si>
    <t>１００～
２００
万円未満</t>
  </si>
  <si>
    <t>２００～
３００
万円未満</t>
  </si>
  <si>
    <t>３００～
５００
万円未満</t>
  </si>
  <si>
    <t>５００～
７００
万円未満</t>
  </si>
  <si>
    <t>７００～
１，０００
万円未満</t>
  </si>
  <si>
    <t>１，０００
万円以上</t>
  </si>
  <si>
    <t>実経営
体数</t>
  </si>
  <si>
    <t>作　　　　業　　　　別</t>
  </si>
  <si>
    <t>育　苗</t>
  </si>
  <si>
    <t>耕起・
代かき</t>
  </si>
  <si>
    <t>田　植</t>
  </si>
  <si>
    <t>防　除</t>
  </si>
  <si>
    <t>稲刈り
・脱穀</t>
  </si>
  <si>
    <t>乾燥・調製</t>
  </si>
  <si>
    <t>合     計</t>
  </si>
  <si>
    <r>
      <t>（２）水稲作受託作業種類別経営体数と受託作業面積</t>
    </r>
    <r>
      <rPr>
        <sz val="11"/>
        <rFont val="ＭＳ Ｐ明朝"/>
        <family val="1"/>
      </rPr>
      <t>〔販売農家のみ〕</t>
    </r>
  </si>
  <si>
    <t>全作業を受託</t>
  </si>
  <si>
    <t>部　　分　　作　　業　　を　　受　　託</t>
  </si>
  <si>
    <t>育　　　苗</t>
  </si>
  <si>
    <t>耕起・代かき</t>
  </si>
  <si>
    <t xml:space="preserve">田 植 </t>
  </si>
  <si>
    <t>防　  　除</t>
  </si>
  <si>
    <t>稲刈り・脱穀</t>
  </si>
  <si>
    <t>実経営体数</t>
  </si>
  <si>
    <t>経営体数</t>
  </si>
  <si>
    <t>ａ</t>
  </si>
  <si>
    <t>合  計</t>
  </si>
  <si>
    <t>附  録</t>
  </si>
  <si>
    <t>２０１５年農林業センサス 県内各市の概況表</t>
  </si>
  <si>
    <t>農　　　家　　　数</t>
  </si>
  <si>
    <t>農家人口（販　売農家のみ）</t>
  </si>
  <si>
    <t>経営耕地（販売農家のみ）</t>
  </si>
  <si>
    <t>耕作放棄地（販売農家のみ）</t>
  </si>
  <si>
    <t>林　　業</t>
  </si>
  <si>
    <t>自給的　農　家</t>
  </si>
  <si>
    <t>構成比（自給的：専業：兼業）</t>
  </si>
  <si>
    <t>農　　業
従　　事
者　　数</t>
  </si>
  <si>
    <t>農　　業
就　　業
人　　口</t>
  </si>
  <si>
    <t>基幹的　農　　業従事者数</t>
  </si>
  <si>
    <t>総面積</t>
  </si>
  <si>
    <t>うち田</t>
  </si>
  <si>
    <t>販売農家　1戸当たり経営耕地　面　　積</t>
  </si>
  <si>
    <t>耕作放棄地
のある
実経営体数</t>
  </si>
  <si>
    <t>保有山林　面　　積</t>
  </si>
  <si>
    <t xml:space="preserve">
自給的
農　家</t>
  </si>
  <si>
    <t>うち65歳以上の者</t>
  </si>
  <si>
    <t>面積</t>
  </si>
  <si>
    <t>総面積の　うち田の　割　　合</t>
  </si>
  <si>
    <t>第1種　兼　業</t>
  </si>
  <si>
    <t>第2種　兼　業</t>
  </si>
  <si>
    <t>専　業</t>
  </si>
  <si>
    <t>兼　業</t>
  </si>
  <si>
    <t>単　　位</t>
  </si>
  <si>
    <t>％</t>
  </si>
  <si>
    <t>人</t>
  </si>
  <si>
    <t>ａ</t>
  </si>
  <si>
    <t>％</t>
  </si>
  <si>
    <t>ｈａ</t>
  </si>
  <si>
    <t>新 潟 県</t>
  </si>
  <si>
    <t>新 潟 市</t>
  </si>
  <si>
    <t>長 岡 市</t>
  </si>
  <si>
    <t>三 条 市</t>
  </si>
  <si>
    <t>柏 崎 市</t>
  </si>
  <si>
    <t>小千谷市</t>
  </si>
  <si>
    <t>加 茂 市</t>
  </si>
  <si>
    <t>十日町市</t>
  </si>
  <si>
    <t>見 附 市</t>
  </si>
  <si>
    <t>村 上 市</t>
  </si>
  <si>
    <t>燕     市</t>
  </si>
  <si>
    <t>糸魚川市</t>
  </si>
  <si>
    <t>妙高市</t>
  </si>
  <si>
    <t>五 泉 市</t>
  </si>
  <si>
    <t>上 越 市</t>
  </si>
  <si>
    <t>阿賀野市</t>
  </si>
  <si>
    <t>佐 渡 市</t>
  </si>
  <si>
    <t>魚 沼 市</t>
  </si>
  <si>
    <t>南魚沼市</t>
  </si>
  <si>
    <t>胎内市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</si>
</sst>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 "/>
    <numFmt numFmtId="180" formatCode="0.0%"/>
    <numFmt numFmtId="181" formatCode="#,##0_ ;[Red]\-#,##0\ "/>
    <numFmt numFmtId="182" formatCode="#,##0;&quot;△ &quot;#,##0"/>
    <numFmt numFmtId="183" formatCode="#,##0;[Red]#,##0"/>
    <numFmt numFmtId="184" formatCode="0.000;&quot;△ &quot;0.000"/>
    <numFmt numFmtId="185" formatCode="0.0;&quot;△ &quot;0.0"/>
    <numFmt numFmtId="186" formatCode="0;&quot;△ &quot;0"/>
    <numFmt numFmtId="187" formatCode="#,##0.0_ ;[Red]\-#,##0.0\ "/>
    <numFmt numFmtId="188" formatCode="&quot;¥&quot;#,##0.000;&quot;¥&quot;\-#,##0.000"/>
    <numFmt numFmtId="189" formatCode="#,##0.000_ "/>
    <numFmt numFmtId="190" formatCode="0.000_ "/>
    <numFmt numFmtId="191" formatCode="#,##0.00_ "/>
    <numFmt numFmtId="192" formatCode="0_);[Red]\(0\)"/>
    <numFmt numFmtId="193" formatCode="#,##0_);[Red]\(#,##0\)"/>
    <numFmt numFmtId="194" formatCode="* #,##0\ ;\ * \-#,##0\ ;\ * &quot;-&quot;"/>
    <numFmt numFmtId="195" formatCode="0_ "/>
    <numFmt numFmtId="196" formatCode="_ * #,##0_ ;_ * \-#,##0_ ;_ * &quot;-&quot;"/>
    <numFmt numFmtId="197" formatCode="#,##0\ ;\ * \-#,##0\ ;\ * &quot;-&quot;"/>
    <numFmt numFmtId="198" formatCode="* #,##0_ ;* \-#,##0_ ;* &quot;-&quot;\ "/>
    <numFmt numFmtId="199" formatCode="_ * #,##0_ ;_ * \-#,##0_ ;_ * &quot;-&quot;\ "/>
    <numFmt numFmtId="200" formatCode="0.0_);[Red]\(0.0\)"/>
    <numFmt numFmtId="201" formatCode="_ * #,##0_ ;_ * \-#,##0_ ;_ * &quot;-&quot;_ ;"/>
    <numFmt numFmtId="202" formatCode="#,##0.0_);[Red]\(#,##0.0\)"/>
    <numFmt numFmtId="203" formatCode="_ * #,##0.0_ ;_ * \-#,##0.0_ ;_ * &quot;-&quot;_ ;_ @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ゴシック"/>
      <family val="3"/>
    </font>
    <font>
      <sz val="9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0.5"/>
      <name val="ＭＳ Ｐゴシック"/>
      <family val="3"/>
    </font>
    <font>
      <sz val="9"/>
      <color indexed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.5"/>
      <name val="Calibri"/>
      <family val="3"/>
    </font>
    <font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1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 shrinkToFit="1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14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1" fontId="3" fillId="0" borderId="17" xfId="48" applyNumberFormat="1" applyFont="1" applyBorder="1" applyAlignment="1">
      <alignment vertical="center"/>
    </xf>
    <xf numFmtId="186" fontId="3" fillId="0" borderId="17" xfId="0" applyNumberFormat="1" applyFont="1" applyBorder="1" applyAlignment="1">
      <alignment vertical="center"/>
    </xf>
    <xf numFmtId="186" fontId="3" fillId="0" borderId="20" xfId="0" applyNumberFormat="1" applyFont="1" applyBorder="1" applyAlignment="1">
      <alignment vertical="center"/>
    </xf>
    <xf numFmtId="182" fontId="3" fillId="0" borderId="20" xfId="48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3" fillId="0" borderId="0" xfId="0" applyFont="1" applyAlignment="1">
      <alignment vertical="center"/>
    </xf>
    <xf numFmtId="192" fontId="3" fillId="0" borderId="22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vertical="center"/>
    </xf>
    <xf numFmtId="182" fontId="3" fillId="0" borderId="26" xfId="0" applyNumberFormat="1" applyFont="1" applyBorder="1" applyAlignment="1">
      <alignment vertical="center"/>
    </xf>
    <xf numFmtId="185" fontId="3" fillId="0" borderId="20" xfId="0" applyNumberFormat="1" applyFont="1" applyBorder="1" applyAlignment="1">
      <alignment vertical="center"/>
    </xf>
    <xf numFmtId="182" fontId="3" fillId="0" borderId="2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5" xfId="0" applyBorder="1" applyAlignment="1">
      <alignment horizontal="right" vertical="center"/>
    </xf>
    <xf numFmtId="176" fontId="3" fillId="0" borderId="26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192" fontId="3" fillId="0" borderId="26" xfId="0" applyNumberFormat="1" applyFont="1" applyBorder="1" applyAlignment="1">
      <alignment vertical="center"/>
    </xf>
    <xf numFmtId="192" fontId="3" fillId="0" borderId="26" xfId="0" applyNumberFormat="1" applyFont="1" applyBorder="1" applyAlignment="1">
      <alignment horizontal="right" vertical="center"/>
    </xf>
    <xf numFmtId="38" fontId="3" fillId="0" borderId="27" xfId="48" applyFont="1" applyBorder="1" applyAlignment="1">
      <alignment vertical="center"/>
    </xf>
    <xf numFmtId="193" fontId="3" fillId="0" borderId="22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85" fontId="3" fillId="0" borderId="26" xfId="0" applyNumberFormat="1" applyFont="1" applyBorder="1" applyAlignment="1">
      <alignment vertical="center"/>
    </xf>
    <xf numFmtId="186" fontId="3" fillId="0" borderId="26" xfId="0" applyNumberFormat="1" applyFont="1" applyBorder="1" applyAlignment="1">
      <alignment vertical="center"/>
    </xf>
    <xf numFmtId="182" fontId="3" fillId="0" borderId="17" xfId="48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vertical="center"/>
    </xf>
    <xf numFmtId="0" fontId="0" fillId="0" borderId="33" xfId="0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194" fontId="0" fillId="0" borderId="20" xfId="0" applyNumberFormat="1" applyFill="1" applyBorder="1" applyAlignment="1">
      <alignment horizontal="right" vertical="center"/>
    </xf>
    <xf numFmtId="194" fontId="0" fillId="0" borderId="21" xfId="0" applyNumberForma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 indent="1"/>
    </xf>
    <xf numFmtId="194" fontId="0" fillId="0" borderId="39" xfId="0" applyNumberForma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94" fontId="0" fillId="0" borderId="23" xfId="0" applyNumberFormat="1" applyFill="1" applyBorder="1" applyAlignment="1">
      <alignment horizontal="right" vertical="center"/>
    </xf>
    <xf numFmtId="194" fontId="0" fillId="0" borderId="32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 vertical="center" textRotation="255" wrapText="1"/>
    </xf>
    <xf numFmtId="0" fontId="0" fillId="0" borderId="0" xfId="0" applyBorder="1" applyAlignment="1">
      <alignment horizontal="right" vertical="center"/>
    </xf>
    <xf numFmtId="195" fontId="0" fillId="0" borderId="0" xfId="0" applyNumberFormat="1" applyBorder="1" applyAlignment="1">
      <alignment vertical="center"/>
    </xf>
    <xf numFmtId="195" fontId="0" fillId="0" borderId="0" xfId="0" applyNumberFormat="1" applyBorder="1" applyAlignment="1">
      <alignment horizontal="right" vertical="center"/>
    </xf>
    <xf numFmtId="195" fontId="0" fillId="0" borderId="0" xfId="0" applyNumberForma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181" fontId="3" fillId="0" borderId="36" xfId="48" applyNumberFormat="1" applyFont="1" applyBorder="1" applyAlignment="1">
      <alignment horizontal="right" vertical="center"/>
    </xf>
    <xf numFmtId="181" fontId="3" fillId="0" borderId="42" xfId="48" applyNumberFormat="1" applyFont="1" applyBorder="1" applyAlignment="1">
      <alignment horizontal="right" vertical="center"/>
    </xf>
    <xf numFmtId="182" fontId="3" fillId="0" borderId="20" xfId="0" applyNumberFormat="1" applyFont="1" applyBorder="1" applyAlignment="1">
      <alignment horizontal="right" vertical="center" indent="1"/>
    </xf>
    <xf numFmtId="185" fontId="3" fillId="0" borderId="20" xfId="0" applyNumberFormat="1" applyFont="1" applyBorder="1" applyAlignment="1">
      <alignment horizontal="right" vertical="center" indent="1"/>
    </xf>
    <xf numFmtId="185" fontId="3" fillId="0" borderId="21" xfId="0" applyNumberFormat="1" applyFont="1" applyBorder="1" applyAlignment="1">
      <alignment horizontal="right" vertical="center" indent="1"/>
    </xf>
    <xf numFmtId="176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 indent="1"/>
    </xf>
    <xf numFmtId="0" fontId="2" fillId="0" borderId="45" xfId="0" applyFont="1" applyBorder="1" applyAlignment="1">
      <alignment horizontal="right" vertical="center" indent="1"/>
    </xf>
    <xf numFmtId="0" fontId="3" fillId="0" borderId="0" xfId="0" applyFont="1" applyAlignment="1">
      <alignment horizontal="right"/>
    </xf>
    <xf numFmtId="176" fontId="3" fillId="0" borderId="46" xfId="0" applyNumberFormat="1" applyFont="1" applyFill="1" applyBorder="1" applyAlignment="1">
      <alignment horizontal="right" vertical="center"/>
    </xf>
    <xf numFmtId="176" fontId="3" fillId="0" borderId="47" xfId="0" applyNumberFormat="1" applyFont="1" applyFill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85" fontId="3" fillId="0" borderId="23" xfId="0" applyNumberFormat="1" applyFont="1" applyFill="1" applyBorder="1" applyAlignment="1">
      <alignment horizontal="right" vertical="center" indent="1"/>
    </xf>
    <xf numFmtId="185" fontId="3" fillId="0" borderId="32" xfId="0" applyNumberFormat="1" applyFont="1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182" fontId="3" fillId="0" borderId="17" xfId="0" applyNumberFormat="1" applyFont="1" applyBorder="1" applyAlignment="1">
      <alignment horizontal="right" vertical="center" indent="1"/>
    </xf>
    <xf numFmtId="185" fontId="3" fillId="0" borderId="17" xfId="0" applyNumberFormat="1" applyFont="1" applyBorder="1" applyAlignment="1">
      <alignment horizontal="right" vertical="center" indent="1"/>
    </xf>
    <xf numFmtId="185" fontId="3" fillId="0" borderId="19" xfId="0" applyNumberFormat="1" applyFont="1" applyBorder="1" applyAlignment="1">
      <alignment horizontal="right" vertical="center" indent="1"/>
    </xf>
    <xf numFmtId="186" fontId="3" fillId="0" borderId="20" xfId="0" applyNumberFormat="1" applyFont="1" applyBorder="1" applyAlignment="1">
      <alignment horizontal="right" vertical="center" indent="1"/>
    </xf>
    <xf numFmtId="185" fontId="3" fillId="0" borderId="26" xfId="0" applyNumberFormat="1" applyFont="1" applyBorder="1" applyAlignment="1">
      <alignment horizontal="right" vertical="center" indent="1"/>
    </xf>
    <xf numFmtId="185" fontId="3" fillId="0" borderId="49" xfId="0" applyNumberFormat="1" applyFont="1" applyBorder="1" applyAlignment="1">
      <alignment horizontal="right" vertical="center" inden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6" fontId="3" fillId="0" borderId="17" xfId="0" applyNumberFormat="1" applyFont="1" applyBorder="1" applyAlignment="1">
      <alignment horizontal="right" vertical="center" indent="1"/>
    </xf>
    <xf numFmtId="186" fontId="3" fillId="0" borderId="26" xfId="0" applyNumberFormat="1" applyFont="1" applyBorder="1" applyAlignment="1">
      <alignment horizontal="right" vertical="center" indent="1"/>
    </xf>
    <xf numFmtId="182" fontId="3" fillId="0" borderId="23" xfId="0" applyNumberFormat="1" applyFont="1" applyFill="1" applyBorder="1" applyAlignment="1">
      <alignment horizontal="right" vertical="center" inden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vertical="center" textRotation="255" wrapText="1"/>
    </xf>
    <xf numFmtId="0" fontId="5" fillId="0" borderId="55" xfId="0" applyFont="1" applyBorder="1" applyAlignment="1">
      <alignment vertical="center" textRotation="255" wrapText="1"/>
    </xf>
    <xf numFmtId="0" fontId="5" fillId="0" borderId="14" xfId="0" applyFont="1" applyBorder="1" applyAlignment="1">
      <alignment vertical="center" textRotation="255" wrapText="1"/>
    </xf>
    <xf numFmtId="0" fontId="5" fillId="0" borderId="25" xfId="0" applyFont="1" applyBorder="1" applyAlignment="1">
      <alignment vertical="center" textRotation="255" wrapText="1"/>
    </xf>
    <xf numFmtId="0" fontId="3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vertical="center" textRotation="255" shrinkToFit="1"/>
    </xf>
    <xf numFmtId="0" fontId="5" fillId="0" borderId="55" xfId="0" applyFont="1" applyBorder="1" applyAlignment="1">
      <alignment vertical="center" textRotation="255" shrinkToFit="1"/>
    </xf>
    <xf numFmtId="0" fontId="5" fillId="0" borderId="14" xfId="0" applyFont="1" applyBorder="1" applyAlignment="1">
      <alignment vertical="center" textRotation="255" shrinkToFi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55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41" fontId="0" fillId="0" borderId="43" xfId="0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41" fontId="0" fillId="0" borderId="44" xfId="0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41" fontId="0" fillId="0" borderId="43" xfId="0" applyNumberFormat="1" applyFill="1" applyBorder="1" applyAlignment="1">
      <alignment horizontal="center" vertical="center"/>
    </xf>
    <xf numFmtId="41" fontId="0" fillId="0" borderId="64" xfId="0" applyNumberFormat="1" applyFill="1" applyBorder="1" applyAlignment="1">
      <alignment horizontal="center" vertical="center"/>
    </xf>
    <xf numFmtId="41" fontId="0" fillId="0" borderId="44" xfId="0" applyNumberForma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41" fontId="0" fillId="0" borderId="46" xfId="0" applyNumberFormat="1" applyBorder="1" applyAlignment="1">
      <alignment horizontal="center" vertical="center"/>
    </xf>
    <xf numFmtId="41" fontId="0" fillId="0" borderId="66" xfId="0" applyNumberFormat="1" applyBorder="1" applyAlignment="1">
      <alignment horizontal="center" vertical="center"/>
    </xf>
    <xf numFmtId="41" fontId="0" fillId="0" borderId="47" xfId="0" applyNumberFormat="1" applyBorder="1" applyAlignment="1">
      <alignment horizontal="center" vertical="center"/>
    </xf>
    <xf numFmtId="41" fontId="0" fillId="0" borderId="46" xfId="0" applyNumberFormat="1" applyBorder="1" applyAlignment="1">
      <alignment vertical="center"/>
    </xf>
    <xf numFmtId="41" fontId="0" fillId="0" borderId="66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67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96" fontId="0" fillId="0" borderId="43" xfId="0" applyNumberFormat="1" applyBorder="1" applyAlignment="1">
      <alignment horizontal="center" vertical="center"/>
    </xf>
    <xf numFmtId="196" fontId="0" fillId="0" borderId="64" xfId="0" applyNumberFormat="1" applyBorder="1" applyAlignment="1">
      <alignment horizontal="center" vertical="center"/>
    </xf>
    <xf numFmtId="196" fontId="0" fillId="0" borderId="43" xfId="0" applyNumberFormat="1" applyFill="1" applyBorder="1" applyAlignment="1">
      <alignment horizontal="center" vertical="center"/>
    </xf>
    <xf numFmtId="196" fontId="0" fillId="0" borderId="64" xfId="0" applyNumberFormat="1" applyFill="1" applyBorder="1" applyAlignment="1">
      <alignment horizontal="center" vertical="center"/>
    </xf>
    <xf numFmtId="196" fontId="0" fillId="0" borderId="44" xfId="0" applyNumberFormat="1" applyBorder="1" applyAlignment="1">
      <alignment horizontal="center" vertical="center"/>
    </xf>
    <xf numFmtId="196" fontId="0" fillId="0" borderId="65" xfId="0" applyNumberFormat="1" applyFill="1" applyBorder="1" applyAlignment="1">
      <alignment horizontal="center" vertical="center"/>
    </xf>
    <xf numFmtId="196" fontId="0" fillId="0" borderId="44" xfId="0" applyNumberFormat="1" applyFill="1" applyBorder="1" applyAlignment="1">
      <alignment horizontal="center" vertical="center"/>
    </xf>
    <xf numFmtId="196" fontId="0" fillId="0" borderId="43" xfId="0" applyNumberFormat="1" applyFill="1" applyBorder="1" applyAlignment="1">
      <alignment horizontal="center"/>
    </xf>
    <xf numFmtId="196" fontId="0" fillId="0" borderId="64" xfId="0" applyNumberFormat="1" applyFill="1" applyBorder="1" applyAlignment="1">
      <alignment horizontal="center"/>
    </xf>
    <xf numFmtId="0" fontId="3" fillId="0" borderId="16" xfId="0" applyFont="1" applyBorder="1" applyAlignment="1">
      <alignment horizontal="center" vertical="center" shrinkToFit="1"/>
    </xf>
    <xf numFmtId="196" fontId="0" fillId="0" borderId="46" xfId="0" applyNumberFormat="1" applyFill="1" applyBorder="1" applyAlignment="1">
      <alignment horizontal="center" vertical="center"/>
    </xf>
    <xf numFmtId="196" fontId="0" fillId="0" borderId="66" xfId="0" applyNumberFormat="1" applyFill="1" applyBorder="1" applyAlignment="1">
      <alignment horizontal="center" vertical="center"/>
    </xf>
    <xf numFmtId="196" fontId="0" fillId="0" borderId="47" xfId="0" applyNumberFormat="1" applyFill="1" applyBorder="1" applyAlignment="1">
      <alignment horizontal="center" vertical="center"/>
    </xf>
    <xf numFmtId="196" fontId="0" fillId="0" borderId="67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76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3" fillId="0" borderId="7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0" fontId="2" fillId="0" borderId="56" xfId="0" applyFont="1" applyBorder="1" applyAlignment="1">
      <alignment horizontal="right"/>
    </xf>
    <xf numFmtId="0" fontId="3" fillId="0" borderId="7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197" fontId="3" fillId="0" borderId="20" xfId="0" applyNumberFormat="1" applyFont="1" applyBorder="1" applyAlignment="1">
      <alignment vertical="center"/>
    </xf>
    <xf numFmtId="197" fontId="3" fillId="0" borderId="21" xfId="0" applyNumberFormat="1" applyFont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197" fontId="3" fillId="0" borderId="23" xfId="0" applyNumberFormat="1" applyFont="1" applyBorder="1" applyAlignment="1">
      <alignment vertical="center"/>
    </xf>
    <xf numFmtId="197" fontId="3" fillId="0" borderId="32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7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43" xfId="0" applyNumberFormat="1" applyFont="1" applyBorder="1" applyAlignment="1">
      <alignment horizontal="center" vertical="center" wrapText="1"/>
    </xf>
    <xf numFmtId="176" fontId="5" fillId="0" borderId="64" xfId="0" applyNumberFormat="1" applyFont="1" applyBorder="1" applyAlignment="1">
      <alignment horizontal="center" vertical="center" wrapText="1"/>
    </xf>
    <xf numFmtId="176" fontId="5" fillId="0" borderId="4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64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3" fillId="0" borderId="67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66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7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textRotation="255"/>
    </xf>
    <xf numFmtId="0" fontId="0" fillId="0" borderId="40" xfId="0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41" fontId="3" fillId="0" borderId="79" xfId="48" applyNumberFormat="1" applyFont="1" applyFill="1" applyBorder="1" applyAlignment="1">
      <alignment horizontal="right" vertical="center"/>
    </xf>
    <xf numFmtId="41" fontId="3" fillId="0" borderId="80" xfId="48" applyNumberFormat="1" applyFont="1" applyFill="1" applyBorder="1" applyAlignment="1">
      <alignment horizontal="right" vertical="center"/>
    </xf>
    <xf numFmtId="41" fontId="3" fillId="0" borderId="81" xfId="48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55" xfId="0" applyFont="1" applyFill="1" applyBorder="1" applyAlignment="1">
      <alignment vertical="center" textRotation="255"/>
    </xf>
    <xf numFmtId="0" fontId="0" fillId="0" borderId="39" xfId="0" applyFill="1" applyBorder="1" applyAlignment="1">
      <alignment vertical="center"/>
    </xf>
    <xf numFmtId="0" fontId="5" fillId="0" borderId="82" xfId="0" applyFont="1" applyFill="1" applyBorder="1" applyAlignment="1">
      <alignment vertical="center"/>
    </xf>
    <xf numFmtId="41" fontId="3" fillId="0" borderId="83" xfId="48" applyNumberFormat="1" applyFont="1" applyFill="1" applyBorder="1" applyAlignment="1">
      <alignment horizontal="right" vertical="center"/>
    </xf>
    <xf numFmtId="41" fontId="3" fillId="0" borderId="84" xfId="48" applyNumberFormat="1" applyFont="1" applyFill="1" applyBorder="1" applyAlignment="1">
      <alignment horizontal="right" vertical="center"/>
    </xf>
    <xf numFmtId="41" fontId="3" fillId="0" borderId="85" xfId="48" applyNumberFormat="1" applyFont="1" applyFill="1" applyBorder="1" applyAlignment="1">
      <alignment horizontal="right" vertical="center"/>
    </xf>
    <xf numFmtId="0" fontId="0" fillId="0" borderId="55" xfId="0" applyFill="1" applyBorder="1" applyAlignment="1">
      <alignment vertical="center" textRotation="255"/>
    </xf>
    <xf numFmtId="0" fontId="5" fillId="0" borderId="86" xfId="0" applyFont="1" applyFill="1" applyBorder="1" applyAlignment="1">
      <alignment vertical="center"/>
    </xf>
    <xf numFmtId="41" fontId="3" fillId="0" borderId="87" xfId="48" applyNumberFormat="1" applyFont="1" applyFill="1" applyBorder="1" applyAlignment="1">
      <alignment horizontal="right" vertical="center"/>
    </xf>
    <xf numFmtId="41" fontId="3" fillId="0" borderId="88" xfId="48" applyNumberFormat="1" applyFont="1" applyFill="1" applyBorder="1" applyAlignment="1">
      <alignment horizontal="right" vertical="center"/>
    </xf>
    <xf numFmtId="41" fontId="3" fillId="0" borderId="89" xfId="48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 textRotation="255"/>
    </xf>
    <xf numFmtId="0" fontId="0" fillId="0" borderId="36" xfId="0" applyFill="1" applyBorder="1" applyAlignment="1">
      <alignment vertical="center"/>
    </xf>
    <xf numFmtId="0" fontId="5" fillId="0" borderId="90" xfId="0" applyFont="1" applyFill="1" applyBorder="1" applyAlignment="1">
      <alignment vertical="center" shrinkToFit="1"/>
    </xf>
    <xf numFmtId="41" fontId="3" fillId="0" borderId="91" xfId="48" applyNumberFormat="1" applyFont="1" applyFill="1" applyBorder="1" applyAlignment="1">
      <alignment horizontal="right" vertical="center"/>
    </xf>
    <xf numFmtId="41" fontId="3" fillId="0" borderId="76" xfId="48" applyNumberFormat="1" applyFont="1" applyFill="1" applyBorder="1" applyAlignment="1">
      <alignment horizontal="right" vertical="center"/>
    </xf>
    <xf numFmtId="41" fontId="3" fillId="0" borderId="77" xfId="48" applyNumberFormat="1" applyFont="1" applyFill="1" applyBorder="1" applyAlignment="1">
      <alignment horizontal="right" vertical="center"/>
    </xf>
    <xf numFmtId="41" fontId="3" fillId="0" borderId="92" xfId="48" applyNumberFormat="1" applyFont="1" applyFill="1" applyBorder="1" applyAlignment="1">
      <alignment horizontal="right" vertical="center"/>
    </xf>
    <xf numFmtId="41" fontId="3" fillId="0" borderId="93" xfId="48" applyNumberFormat="1" applyFont="1" applyFill="1" applyBorder="1" applyAlignment="1">
      <alignment horizontal="right" vertical="center"/>
    </xf>
    <xf numFmtId="41" fontId="3" fillId="0" borderId="94" xfId="48" applyNumberFormat="1" applyFont="1" applyFill="1" applyBorder="1" applyAlignment="1">
      <alignment horizontal="right" vertical="center"/>
    </xf>
    <xf numFmtId="41" fontId="3" fillId="0" borderId="36" xfId="48" applyNumberFormat="1" applyFont="1" applyFill="1" applyBorder="1" applyAlignment="1">
      <alignment horizontal="right" vertical="center"/>
    </xf>
    <xf numFmtId="41" fontId="3" fillId="0" borderId="37" xfId="48" applyNumberFormat="1" applyFont="1" applyFill="1" applyBorder="1" applyAlignment="1">
      <alignment horizontal="right" vertical="center"/>
    </xf>
    <xf numFmtId="41" fontId="3" fillId="0" borderId="63" xfId="48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 vertical="center"/>
    </xf>
    <xf numFmtId="0" fontId="3" fillId="0" borderId="13" xfId="0" applyFont="1" applyBorder="1" applyAlignment="1">
      <alignment vertical="center" textRotation="255"/>
    </xf>
    <xf numFmtId="0" fontId="0" fillId="0" borderId="40" xfId="0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95" xfId="0" applyNumberFormat="1" applyFont="1" applyBorder="1" applyAlignment="1">
      <alignment horizontal="right" vertical="center"/>
    </xf>
    <xf numFmtId="41" fontId="3" fillId="0" borderId="96" xfId="0" applyNumberFormat="1" applyFont="1" applyBorder="1" applyAlignment="1">
      <alignment horizontal="right" vertical="center"/>
    </xf>
    <xf numFmtId="41" fontId="3" fillId="0" borderId="97" xfId="0" applyNumberFormat="1" applyFont="1" applyBorder="1" applyAlignment="1">
      <alignment horizontal="right" vertical="center"/>
    </xf>
    <xf numFmtId="41" fontId="3" fillId="0" borderId="98" xfId="0" applyNumberFormat="1" applyFont="1" applyBorder="1" applyAlignment="1">
      <alignment horizontal="right" vertical="center"/>
    </xf>
    <xf numFmtId="41" fontId="3" fillId="0" borderId="6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99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vertical="center" textRotation="255"/>
    </xf>
    <xf numFmtId="0" fontId="0" fillId="0" borderId="39" xfId="0" applyBorder="1" applyAlignment="1">
      <alignment vertical="center"/>
    </xf>
    <xf numFmtId="0" fontId="5" fillId="0" borderId="100" xfId="0" applyFont="1" applyFill="1" applyBorder="1" applyAlignment="1">
      <alignment vertical="center"/>
    </xf>
    <xf numFmtId="41" fontId="3" fillId="0" borderId="100" xfId="48" applyNumberFormat="1" applyFont="1" applyFill="1" applyBorder="1" applyAlignment="1">
      <alignment horizontal="right" vertical="center"/>
    </xf>
    <xf numFmtId="41" fontId="3" fillId="0" borderId="101" xfId="0" applyNumberFormat="1" applyFont="1" applyFill="1" applyBorder="1" applyAlignment="1">
      <alignment horizontal="right" vertical="center"/>
    </xf>
    <xf numFmtId="41" fontId="3" fillId="0" borderId="84" xfId="0" applyNumberFormat="1" applyFont="1" applyFill="1" applyBorder="1" applyAlignment="1">
      <alignment horizontal="right" vertical="center"/>
    </xf>
    <xf numFmtId="41" fontId="3" fillId="0" borderId="83" xfId="0" applyNumberFormat="1" applyFont="1" applyFill="1" applyBorder="1" applyAlignment="1">
      <alignment horizontal="right" vertical="center"/>
    </xf>
    <xf numFmtId="41" fontId="3" fillId="0" borderId="102" xfId="0" applyNumberFormat="1" applyFont="1" applyFill="1" applyBorder="1" applyAlignment="1">
      <alignment horizontal="right" vertical="center"/>
    </xf>
    <xf numFmtId="41" fontId="3" fillId="0" borderId="103" xfId="0" applyNumberFormat="1" applyFont="1" applyFill="1" applyBorder="1" applyAlignment="1">
      <alignment horizontal="right" vertical="center"/>
    </xf>
    <xf numFmtId="41" fontId="3" fillId="0" borderId="85" xfId="0" applyNumberFormat="1" applyFont="1" applyFill="1" applyBorder="1" applyAlignment="1">
      <alignment horizontal="right" vertical="center"/>
    </xf>
    <xf numFmtId="0" fontId="0" fillId="0" borderId="55" xfId="0" applyBorder="1" applyAlignment="1">
      <alignment vertical="center" textRotation="255"/>
    </xf>
    <xf numFmtId="0" fontId="5" fillId="0" borderId="104" xfId="0" applyFont="1" applyFill="1" applyBorder="1" applyAlignment="1">
      <alignment vertical="center"/>
    </xf>
    <xf numFmtId="41" fontId="3" fillId="0" borderId="105" xfId="48" applyNumberFormat="1" applyFont="1" applyFill="1" applyBorder="1" applyAlignment="1">
      <alignment horizontal="right" vertical="center"/>
    </xf>
    <xf numFmtId="41" fontId="3" fillId="0" borderId="106" xfId="0" applyNumberFormat="1" applyFont="1" applyFill="1" applyBorder="1" applyAlignment="1">
      <alignment horizontal="right" vertical="center"/>
    </xf>
    <xf numFmtId="41" fontId="3" fillId="0" borderId="88" xfId="0" applyNumberFormat="1" applyFont="1" applyFill="1" applyBorder="1" applyAlignment="1">
      <alignment horizontal="right" vertical="center"/>
    </xf>
    <xf numFmtId="41" fontId="3" fillId="0" borderId="87" xfId="0" applyNumberFormat="1" applyFont="1" applyFill="1" applyBorder="1" applyAlignment="1">
      <alignment horizontal="right" vertical="center"/>
    </xf>
    <xf numFmtId="41" fontId="3" fillId="0" borderId="107" xfId="0" applyNumberFormat="1" applyFont="1" applyFill="1" applyBorder="1" applyAlignment="1">
      <alignment horizontal="right" vertical="center"/>
    </xf>
    <xf numFmtId="41" fontId="3" fillId="0" borderId="89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 textRotation="255" shrinkToFit="1"/>
    </xf>
    <xf numFmtId="0" fontId="3" fillId="0" borderId="61" xfId="0" applyFont="1" applyBorder="1" applyAlignment="1">
      <alignment vertical="center"/>
    </xf>
    <xf numFmtId="41" fontId="3" fillId="0" borderId="108" xfId="0" applyNumberFormat="1" applyFont="1" applyBorder="1" applyAlignment="1">
      <alignment horizontal="right" vertical="center"/>
    </xf>
    <xf numFmtId="41" fontId="3" fillId="0" borderId="109" xfId="0" applyNumberFormat="1" applyFont="1" applyBorder="1" applyAlignment="1">
      <alignment horizontal="right" vertical="center"/>
    </xf>
    <xf numFmtId="41" fontId="3" fillId="0" borderId="41" xfId="0" applyNumberFormat="1" applyFont="1" applyBorder="1" applyAlignment="1">
      <alignment horizontal="right" vertical="center"/>
    </xf>
    <xf numFmtId="41" fontId="3" fillId="0" borderId="102" xfId="0" applyNumberFormat="1" applyFont="1" applyBorder="1" applyAlignment="1">
      <alignment horizontal="right" vertical="center"/>
    </xf>
    <xf numFmtId="41" fontId="3" fillId="0" borderId="61" xfId="0" applyNumberFormat="1" applyFont="1" applyBorder="1" applyAlignment="1">
      <alignment horizontal="right" vertical="center"/>
    </xf>
    <xf numFmtId="41" fontId="3" fillId="0" borderId="110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vertical="center" textRotation="255" shrinkToFit="1"/>
    </xf>
    <xf numFmtId="0" fontId="0" fillId="0" borderId="14" xfId="0" applyBorder="1" applyAlignment="1">
      <alignment vertical="center" textRotation="255" shrinkToFit="1"/>
    </xf>
    <xf numFmtId="41" fontId="3" fillId="0" borderId="111" xfId="0" applyNumberFormat="1" applyFont="1" applyFill="1" applyBorder="1" applyAlignment="1">
      <alignment horizontal="right" vertical="center"/>
    </xf>
    <xf numFmtId="41" fontId="3" fillId="0" borderId="112" xfId="0" applyNumberFormat="1" applyFont="1" applyFill="1" applyBorder="1" applyAlignment="1">
      <alignment horizontal="right" vertical="center"/>
    </xf>
    <xf numFmtId="41" fontId="3" fillId="0" borderId="113" xfId="0" applyNumberFormat="1" applyFont="1" applyFill="1" applyBorder="1" applyAlignment="1">
      <alignment horizontal="right" vertical="center"/>
    </xf>
    <xf numFmtId="41" fontId="3" fillId="0" borderId="114" xfId="0" applyNumberFormat="1" applyFont="1" applyFill="1" applyBorder="1" applyAlignment="1">
      <alignment horizontal="right" vertical="center"/>
    </xf>
    <xf numFmtId="0" fontId="3" fillId="0" borderId="61" xfId="0" applyFont="1" applyFill="1" applyBorder="1" applyAlignment="1">
      <alignment vertical="center"/>
    </xf>
    <xf numFmtId="41" fontId="3" fillId="0" borderId="108" xfId="0" applyNumberFormat="1" applyFont="1" applyFill="1" applyBorder="1" applyAlignment="1">
      <alignment horizontal="right" vertical="center"/>
    </xf>
    <xf numFmtId="41" fontId="3" fillId="0" borderId="109" xfId="0" applyNumberFormat="1" applyFont="1" applyFill="1" applyBorder="1" applyAlignment="1">
      <alignment horizontal="right" vertical="center"/>
    </xf>
    <xf numFmtId="41" fontId="3" fillId="0" borderId="61" xfId="0" applyNumberFormat="1" applyFont="1" applyFill="1" applyBorder="1" applyAlignment="1">
      <alignment horizontal="right" vertical="center"/>
    </xf>
    <xf numFmtId="41" fontId="3" fillId="0" borderId="41" xfId="0" applyNumberFormat="1" applyFont="1" applyFill="1" applyBorder="1" applyAlignment="1">
      <alignment horizontal="right" vertical="center"/>
    </xf>
    <xf numFmtId="41" fontId="3" fillId="0" borderId="11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 textRotation="255"/>
    </xf>
    <xf numFmtId="0" fontId="0" fillId="0" borderId="43" xfId="0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33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5" fillId="0" borderId="115" xfId="0" applyFont="1" applyFill="1" applyBorder="1" applyAlignment="1">
      <alignment vertical="center"/>
    </xf>
    <xf numFmtId="41" fontId="3" fillId="0" borderId="116" xfId="48" applyNumberFormat="1" applyFont="1" applyFill="1" applyBorder="1" applyAlignment="1">
      <alignment horizontal="right" vertical="center"/>
    </xf>
    <xf numFmtId="41" fontId="3" fillId="0" borderId="117" xfId="48" applyNumberFormat="1" applyFont="1" applyFill="1" applyBorder="1" applyAlignment="1">
      <alignment horizontal="right" vertical="center"/>
    </xf>
    <xf numFmtId="41" fontId="3" fillId="0" borderId="118" xfId="0" applyNumberFormat="1" applyFont="1" applyFill="1" applyBorder="1" applyAlignment="1">
      <alignment horizontal="right" vertical="center"/>
    </xf>
    <xf numFmtId="41" fontId="3" fillId="0" borderId="117" xfId="0" applyNumberFormat="1" applyFont="1" applyFill="1" applyBorder="1" applyAlignment="1">
      <alignment horizontal="right" vertical="center"/>
    </xf>
    <xf numFmtId="41" fontId="3" fillId="0" borderId="119" xfId="0" applyNumberFormat="1" applyFont="1" applyFill="1" applyBorder="1" applyAlignment="1">
      <alignment horizontal="right" vertical="center"/>
    </xf>
    <xf numFmtId="41" fontId="3" fillId="0" borderId="12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56" xfId="0" applyFont="1" applyBorder="1" applyAlignment="1">
      <alignment horizontal="right"/>
    </xf>
    <xf numFmtId="0" fontId="3" fillId="0" borderId="5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98" fontId="3" fillId="0" borderId="43" xfId="48" applyNumberFormat="1" applyFont="1" applyBorder="1" applyAlignment="1">
      <alignment horizontal="center" vertical="center"/>
    </xf>
    <xf numFmtId="198" fontId="3" fillId="0" borderId="44" xfId="48" applyNumberFormat="1" applyFont="1" applyBorder="1" applyAlignment="1">
      <alignment horizontal="center" vertical="center"/>
    </xf>
    <xf numFmtId="198" fontId="3" fillId="0" borderId="20" xfId="48" applyNumberFormat="1" applyFont="1" applyBorder="1" applyAlignment="1">
      <alignment vertical="center"/>
    </xf>
    <xf numFmtId="198" fontId="3" fillId="0" borderId="20" xfId="48" applyNumberFormat="1" applyFont="1" applyBorder="1" applyAlignment="1">
      <alignment horizontal="right" vertical="center" indent="1"/>
    </xf>
    <xf numFmtId="198" fontId="3" fillId="0" borderId="21" xfId="48" applyNumberFormat="1" applyFont="1" applyBorder="1" applyAlignment="1">
      <alignment vertical="center"/>
    </xf>
    <xf numFmtId="198" fontId="3" fillId="0" borderId="43" xfId="48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198" fontId="3" fillId="0" borderId="20" xfId="48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98" fontId="3" fillId="0" borderId="43" xfId="48" applyNumberFormat="1" applyFont="1" applyFill="1" applyBorder="1" applyAlignment="1">
      <alignment horizontal="center" vertical="center"/>
    </xf>
    <xf numFmtId="198" fontId="3" fillId="0" borderId="44" xfId="48" applyNumberFormat="1" applyFont="1" applyFill="1" applyBorder="1" applyAlignment="1">
      <alignment horizontal="center" vertical="center"/>
    </xf>
    <xf numFmtId="198" fontId="3" fillId="0" borderId="20" xfId="48" applyNumberFormat="1" applyFont="1" applyFill="1" applyBorder="1" applyAlignment="1">
      <alignment vertical="center"/>
    </xf>
    <xf numFmtId="198" fontId="3" fillId="0" borderId="20" xfId="48" applyNumberFormat="1" applyFont="1" applyFill="1" applyBorder="1" applyAlignment="1">
      <alignment horizontal="right" vertical="center" indent="1"/>
    </xf>
    <xf numFmtId="198" fontId="3" fillId="0" borderId="43" xfId="48" applyNumberFormat="1" applyFont="1" applyFill="1" applyBorder="1" applyAlignment="1">
      <alignment vertical="center"/>
    </xf>
    <xf numFmtId="198" fontId="3" fillId="0" borderId="21" xfId="48" applyNumberFormat="1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98" fontId="3" fillId="0" borderId="46" xfId="48" applyNumberFormat="1" applyFont="1" applyBorder="1" applyAlignment="1">
      <alignment horizontal="center" vertical="center"/>
    </xf>
    <xf numFmtId="198" fontId="3" fillId="0" borderId="47" xfId="48" applyNumberFormat="1" applyFont="1" applyBorder="1" applyAlignment="1">
      <alignment horizontal="center" vertical="center"/>
    </xf>
    <xf numFmtId="198" fontId="3" fillId="0" borderId="23" xfId="48" applyNumberFormat="1" applyFont="1" applyBorder="1" applyAlignment="1">
      <alignment vertical="center"/>
    </xf>
    <xf numFmtId="198" fontId="3" fillId="0" borderId="23" xfId="48" applyNumberFormat="1" applyFont="1" applyBorder="1" applyAlignment="1">
      <alignment horizontal="right" vertical="center" indent="1"/>
    </xf>
    <xf numFmtId="198" fontId="3" fillId="0" borderId="46" xfId="48" applyNumberFormat="1" applyFont="1" applyBorder="1" applyAlignment="1">
      <alignment vertical="center"/>
    </xf>
    <xf numFmtId="198" fontId="3" fillId="0" borderId="23" xfId="48" applyNumberFormat="1" applyFont="1" applyBorder="1" applyAlignment="1">
      <alignment horizontal="center" vertical="center"/>
    </xf>
    <xf numFmtId="198" fontId="3" fillId="0" borderId="32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0" borderId="20" xfId="0" applyNumberFormat="1" applyBorder="1" applyAlignment="1">
      <alignment vertical="center"/>
    </xf>
    <xf numFmtId="179" fontId="0" fillId="0" borderId="20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0" xfId="0" applyNumberFormat="1" applyFill="1" applyBorder="1" applyAlignment="1">
      <alignment horizontal="center" vertical="center"/>
    </xf>
    <xf numFmtId="179" fontId="0" fillId="0" borderId="20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center" vertical="center"/>
    </xf>
    <xf numFmtId="179" fontId="0" fillId="0" borderId="23" xfId="0" applyNumberFormat="1" applyFill="1" applyBorder="1" applyAlignment="1">
      <alignment vertical="center"/>
    </xf>
    <xf numFmtId="179" fontId="0" fillId="0" borderId="23" xfId="0" applyNumberFormat="1" applyFill="1" applyBorder="1" applyAlignment="1">
      <alignment horizontal="right" vertical="center"/>
    </xf>
    <xf numFmtId="179" fontId="0" fillId="0" borderId="32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81" fontId="3" fillId="0" borderId="0" xfId="48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2" fillId="0" borderId="70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52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vertical="center"/>
    </xf>
    <xf numFmtId="0" fontId="52" fillId="0" borderId="35" xfId="0" applyFont="1" applyFill="1" applyBorder="1" applyAlignment="1">
      <alignment vertical="center"/>
    </xf>
    <xf numFmtId="0" fontId="52" fillId="0" borderId="72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43" xfId="0" applyFont="1" applyFill="1" applyBorder="1" applyAlignment="1">
      <alignment horizontal="center" vertical="center" shrinkToFit="1"/>
    </xf>
    <xf numFmtId="0" fontId="53" fillId="0" borderId="15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5" xfId="0" applyFont="1" applyFill="1" applyBorder="1" applyAlignment="1">
      <alignment horizontal="center" vertical="center"/>
    </xf>
    <xf numFmtId="0" fontId="54" fillId="0" borderId="100" xfId="0" applyFont="1" applyFill="1" applyBorder="1" applyAlignment="1">
      <alignment vertical="center"/>
    </xf>
    <xf numFmtId="199" fontId="53" fillId="0" borderId="82" xfId="48" applyNumberFormat="1" applyFont="1" applyFill="1" applyBorder="1" applyAlignment="1">
      <alignment vertical="center"/>
    </xf>
    <xf numFmtId="199" fontId="53" fillId="0" borderId="100" xfId="48" applyNumberFormat="1" applyFont="1" applyFill="1" applyBorder="1" applyAlignment="1">
      <alignment vertical="center"/>
    </xf>
    <xf numFmtId="177" fontId="53" fillId="0" borderId="123" xfId="48" applyNumberFormat="1" applyFont="1" applyFill="1" applyBorder="1" applyAlignment="1">
      <alignment vertical="center"/>
    </xf>
    <xf numFmtId="177" fontId="53" fillId="0" borderId="82" xfId="48" applyNumberFormat="1" applyFont="1" applyFill="1" applyBorder="1" applyAlignment="1">
      <alignment vertical="center"/>
    </xf>
    <xf numFmtId="177" fontId="53" fillId="0" borderId="124" xfId="48" applyNumberFormat="1" applyFont="1" applyFill="1" applyBorder="1" applyAlignment="1">
      <alignment vertical="center"/>
    </xf>
    <xf numFmtId="0" fontId="54" fillId="0" borderId="39" xfId="0" applyFont="1" applyFill="1" applyBorder="1" applyAlignment="1">
      <alignment vertical="center"/>
    </xf>
    <xf numFmtId="199" fontId="53" fillId="0" borderId="125" xfId="48" applyNumberFormat="1" applyFont="1" applyFill="1" applyBorder="1" applyAlignment="1">
      <alignment vertical="center"/>
    </xf>
    <xf numFmtId="199" fontId="53" fillId="0" borderId="121" xfId="48" applyNumberFormat="1" applyFont="1" applyFill="1" applyBorder="1" applyAlignment="1">
      <alignment vertical="center"/>
    </xf>
    <xf numFmtId="199" fontId="53" fillId="0" borderId="126" xfId="48" applyNumberFormat="1" applyFont="1" applyFill="1" applyBorder="1" applyAlignment="1">
      <alignment vertical="center"/>
    </xf>
    <xf numFmtId="177" fontId="53" fillId="0" borderId="14" xfId="48" applyNumberFormat="1" applyFont="1" applyFill="1" applyBorder="1" applyAlignment="1">
      <alignment vertical="center"/>
    </xf>
    <xf numFmtId="177" fontId="53" fillId="0" borderId="125" xfId="48" applyNumberFormat="1" applyFont="1" applyFill="1" applyBorder="1" applyAlignment="1">
      <alignment vertical="center"/>
    </xf>
    <xf numFmtId="177" fontId="53" fillId="0" borderId="127" xfId="48" applyNumberFormat="1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/>
    </xf>
    <xf numFmtId="199" fontId="56" fillId="0" borderId="82" xfId="60" applyNumberFormat="1" applyFont="1" applyFill="1" applyBorder="1" applyAlignment="1">
      <alignment horizontal="right" vertical="center"/>
      <protection/>
    </xf>
    <xf numFmtId="199" fontId="53" fillId="0" borderId="124" xfId="0" applyNumberFormat="1" applyFont="1" applyFill="1" applyBorder="1" applyAlignment="1">
      <alignment vertical="center"/>
    </xf>
    <xf numFmtId="177" fontId="53" fillId="0" borderId="123" xfId="0" applyNumberFormat="1" applyFont="1" applyFill="1" applyBorder="1" applyAlignment="1">
      <alignment vertical="center"/>
    </xf>
    <xf numFmtId="177" fontId="53" fillId="0" borderId="82" xfId="0" applyNumberFormat="1" applyFont="1" applyFill="1" applyBorder="1" applyAlignment="1">
      <alignment vertical="center"/>
    </xf>
    <xf numFmtId="177" fontId="53" fillId="0" borderId="124" xfId="0" applyNumberFormat="1" applyFont="1" applyFill="1" applyBorder="1" applyAlignment="1">
      <alignment vertical="center"/>
    </xf>
    <xf numFmtId="199" fontId="53" fillId="0" borderId="17" xfId="48" applyNumberFormat="1" applyFont="1" applyFill="1" applyBorder="1" applyAlignment="1">
      <alignment vertical="center"/>
    </xf>
    <xf numFmtId="199" fontId="56" fillId="0" borderId="121" xfId="60" applyNumberFormat="1" applyFont="1" applyFill="1" applyBorder="1" applyAlignment="1">
      <alignment horizontal="right" vertical="center"/>
      <protection/>
    </xf>
    <xf numFmtId="199" fontId="53" fillId="0" borderId="17" xfId="0" applyNumberFormat="1" applyFont="1" applyFill="1" applyBorder="1" applyAlignment="1">
      <alignment horizontal="right" vertical="center"/>
    </xf>
    <xf numFmtId="199" fontId="53" fillId="0" borderId="36" xfId="0" applyNumberFormat="1" applyFont="1" applyFill="1" applyBorder="1" applyAlignment="1">
      <alignment vertical="center"/>
    </xf>
    <xf numFmtId="177" fontId="53" fillId="0" borderId="14" xfId="0" applyNumberFormat="1" applyFont="1" applyFill="1" applyBorder="1" applyAlignment="1">
      <alignment vertical="center"/>
    </xf>
    <xf numFmtId="177" fontId="53" fillId="0" borderId="17" xfId="0" applyNumberFormat="1" applyFont="1" applyFill="1" applyBorder="1" applyAlignment="1">
      <alignment vertical="center"/>
    </xf>
    <xf numFmtId="177" fontId="53" fillId="0" borderId="19" xfId="0" applyNumberFormat="1" applyFont="1" applyFill="1" applyBorder="1" applyAlignment="1">
      <alignment vertical="center"/>
    </xf>
    <xf numFmtId="199" fontId="53" fillId="0" borderId="82" xfId="0" applyNumberFormat="1" applyFont="1" applyFill="1" applyBorder="1" applyAlignment="1">
      <alignment horizontal="right" vertical="center"/>
    </xf>
    <xf numFmtId="199" fontId="53" fillId="0" borderId="124" xfId="0" applyNumberFormat="1" applyFont="1" applyFill="1" applyBorder="1" applyAlignment="1">
      <alignment horizontal="right" vertical="center"/>
    </xf>
    <xf numFmtId="199" fontId="53" fillId="0" borderId="125" xfId="0" applyNumberFormat="1" applyFont="1" applyFill="1" applyBorder="1" applyAlignment="1">
      <alignment horizontal="right" vertical="center"/>
    </xf>
    <xf numFmtId="199" fontId="53" fillId="0" borderId="36" xfId="0" applyNumberFormat="1" applyFont="1" applyFill="1" applyBorder="1" applyAlignment="1">
      <alignment horizontal="right" vertical="center"/>
    </xf>
    <xf numFmtId="199" fontId="53" fillId="0" borderId="82" xfId="0" applyNumberFormat="1" applyFont="1" applyFill="1" applyBorder="1" applyAlignment="1">
      <alignment vertical="center"/>
    </xf>
    <xf numFmtId="199" fontId="56" fillId="0" borderId="17" xfId="60" applyNumberFormat="1" applyFont="1" applyFill="1" applyBorder="1" applyAlignment="1">
      <alignment horizontal="right" vertical="center"/>
      <protection/>
    </xf>
    <xf numFmtId="200" fontId="3" fillId="0" borderId="0" xfId="0" applyNumberFormat="1" applyFont="1" applyFill="1" applyBorder="1" applyAlignment="1">
      <alignment vertical="center"/>
    </xf>
    <xf numFmtId="199" fontId="53" fillId="0" borderId="17" xfId="0" applyNumberFormat="1" applyFont="1" applyFill="1" applyBorder="1" applyAlignment="1">
      <alignment vertical="center"/>
    </xf>
    <xf numFmtId="0" fontId="55" fillId="0" borderId="33" xfId="0" applyFont="1" applyFill="1" applyBorder="1" applyAlignment="1">
      <alignment horizontal="center" vertical="center"/>
    </xf>
    <xf numFmtId="0" fontId="54" fillId="0" borderId="128" xfId="0" applyFont="1" applyFill="1" applyBorder="1" applyAlignment="1">
      <alignment vertical="center"/>
    </xf>
    <xf numFmtId="199" fontId="53" fillId="0" borderId="26" xfId="48" applyNumberFormat="1" applyFont="1" applyFill="1" applyBorder="1" applyAlignment="1">
      <alignment vertical="center"/>
    </xf>
    <xf numFmtId="199" fontId="53" fillId="0" borderId="26" xfId="0" applyNumberFormat="1" applyFont="1" applyFill="1" applyBorder="1" applyAlignment="1">
      <alignment vertical="center"/>
    </xf>
    <xf numFmtId="199" fontId="53" fillId="0" borderId="26" xfId="0" applyNumberFormat="1" applyFont="1" applyFill="1" applyBorder="1" applyAlignment="1">
      <alignment horizontal="right" vertical="center"/>
    </xf>
    <xf numFmtId="199" fontId="53" fillId="0" borderId="49" xfId="0" applyNumberFormat="1" applyFont="1" applyFill="1" applyBorder="1" applyAlignment="1">
      <alignment vertical="center"/>
    </xf>
    <xf numFmtId="177" fontId="53" fillId="0" borderId="129" xfId="0" applyNumberFormat="1" applyFont="1" applyFill="1" applyBorder="1" applyAlignment="1">
      <alignment vertical="center"/>
    </xf>
    <xf numFmtId="177" fontId="53" fillId="0" borderId="115" xfId="0" applyNumberFormat="1" applyFont="1" applyFill="1" applyBorder="1" applyAlignment="1">
      <alignment vertical="center"/>
    </xf>
    <xf numFmtId="177" fontId="53" fillId="0" borderId="13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56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7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 shrinkToFit="1"/>
    </xf>
    <xf numFmtId="0" fontId="3" fillId="0" borderId="7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76" fontId="3" fillId="0" borderId="43" xfId="0" applyNumberFormat="1" applyFont="1" applyFill="1" applyBorder="1" applyAlignment="1">
      <alignment horizontal="right" vertical="center"/>
    </xf>
    <xf numFmtId="176" fontId="3" fillId="0" borderId="65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6" fontId="3" fillId="0" borderId="67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29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38" fontId="3" fillId="0" borderId="70" xfId="48" applyFont="1" applyFill="1" applyBorder="1" applyAlignment="1">
      <alignment horizontal="center" vertical="center"/>
    </xf>
    <xf numFmtId="38" fontId="3" fillId="0" borderId="57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1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71" xfId="48" applyFont="1" applyFill="1" applyBorder="1" applyAlignment="1">
      <alignment horizontal="center" vertical="center"/>
    </xf>
    <xf numFmtId="38" fontId="3" fillId="0" borderId="60" xfId="48" applyFont="1" applyFill="1" applyBorder="1" applyAlignment="1">
      <alignment horizontal="center" vertical="center"/>
    </xf>
    <xf numFmtId="38" fontId="3" fillId="0" borderId="122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34" xfId="48" applyFont="1" applyFill="1" applyBorder="1" applyAlignment="1">
      <alignment horizontal="center" vertical="center" wrapText="1"/>
    </xf>
    <xf numFmtId="38" fontId="3" fillId="0" borderId="48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57" xfId="48" applyFont="1" applyBorder="1" applyAlignment="1">
      <alignment horizontal="center" vertical="center"/>
    </xf>
    <xf numFmtId="38" fontId="3" fillId="0" borderId="48" xfId="48" applyFont="1" applyFill="1" applyBorder="1" applyAlignment="1">
      <alignment horizontal="center" vertical="center" wrapText="1"/>
    </xf>
    <xf numFmtId="38" fontId="3" fillId="0" borderId="57" xfId="48" applyFont="1" applyFill="1" applyBorder="1" applyAlignment="1">
      <alignment horizontal="center" vertical="center" wrapText="1"/>
    </xf>
    <xf numFmtId="38" fontId="3" fillId="0" borderId="59" xfId="48" applyFont="1" applyFill="1" applyBorder="1" applyAlignment="1">
      <alignment horizontal="center" vertical="center" wrapText="1"/>
    </xf>
    <xf numFmtId="38" fontId="3" fillId="0" borderId="52" xfId="48" applyFont="1" applyFill="1" applyBorder="1" applyAlignment="1">
      <alignment horizontal="center" vertical="center" wrapText="1"/>
    </xf>
    <xf numFmtId="38" fontId="3" fillId="0" borderId="53" xfId="48" applyFont="1" applyFill="1" applyBorder="1" applyAlignment="1">
      <alignment horizontal="center" vertical="center" wrapText="1"/>
    </xf>
    <xf numFmtId="38" fontId="3" fillId="0" borderId="52" xfId="48" applyFont="1" applyFill="1" applyBorder="1" applyAlignment="1">
      <alignment horizontal="center" vertical="center" shrinkToFit="1"/>
    </xf>
    <xf numFmtId="38" fontId="3" fillId="0" borderId="68" xfId="48" applyFont="1" applyFill="1" applyBorder="1" applyAlignment="1">
      <alignment horizontal="center" vertical="center" shrinkToFit="1"/>
    </xf>
    <xf numFmtId="38" fontId="5" fillId="0" borderId="57" xfId="48" applyFont="1" applyFill="1" applyBorder="1" applyAlignment="1">
      <alignment horizontal="center" vertical="center" wrapText="1"/>
    </xf>
    <xf numFmtId="38" fontId="3" fillId="0" borderId="35" xfId="48" applyFont="1" applyFill="1" applyBorder="1" applyAlignment="1">
      <alignment horizontal="center" vertical="center" wrapText="1"/>
    </xf>
    <xf numFmtId="38" fontId="3" fillId="0" borderId="0" xfId="48" applyFont="1" applyAlignment="1">
      <alignment vertical="center"/>
    </xf>
    <xf numFmtId="38" fontId="3" fillId="0" borderId="55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38" fontId="3" fillId="0" borderId="43" xfId="48" applyFont="1" applyFill="1" applyBorder="1" applyAlignment="1">
      <alignment horizontal="center" vertical="center"/>
    </xf>
    <xf numFmtId="38" fontId="3" fillId="0" borderId="44" xfId="48" applyFont="1" applyFill="1" applyBorder="1" applyAlignment="1">
      <alignment horizontal="center" vertical="center"/>
    </xf>
    <xf numFmtId="38" fontId="3" fillId="0" borderId="36" xfId="48" applyFont="1" applyFill="1" applyBorder="1" applyAlignment="1">
      <alignment horizontal="center" vertical="center" wrapText="1"/>
    </xf>
    <xf numFmtId="38" fontId="3" fillId="0" borderId="42" xfId="48" applyFont="1" applyFill="1" applyBorder="1" applyAlignment="1">
      <alignment horizontal="center" vertical="center" wrapText="1"/>
    </xf>
    <xf numFmtId="38" fontId="3" fillId="0" borderId="63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/>
    </xf>
    <xf numFmtId="38" fontId="3" fillId="0" borderId="40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5" fillId="0" borderId="60" xfId="48" applyFont="1" applyFill="1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 wrapText="1"/>
    </xf>
    <xf numFmtId="38" fontId="3" fillId="0" borderId="72" xfId="48" applyFont="1" applyFill="1" applyBorder="1" applyAlignment="1">
      <alignment horizontal="center" vertical="center"/>
    </xf>
    <xf numFmtId="38" fontId="3" fillId="0" borderId="42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5" fillId="0" borderId="42" xfId="48" applyFont="1" applyFill="1" applyBorder="1" applyAlignment="1">
      <alignment horizontal="center" vertical="center" wrapText="1"/>
    </xf>
    <xf numFmtId="38" fontId="5" fillId="0" borderId="33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38" fontId="3" fillId="0" borderId="32" xfId="48" applyFont="1" applyFill="1" applyBorder="1" applyAlignment="1">
      <alignment horizontal="right" vertical="center" wrapText="1"/>
    </xf>
    <xf numFmtId="38" fontId="2" fillId="0" borderId="33" xfId="48" applyFont="1" applyFill="1" applyBorder="1" applyAlignment="1">
      <alignment horizontal="right" vertical="center" wrapText="1"/>
    </xf>
    <xf numFmtId="38" fontId="3" fillId="0" borderId="23" xfId="48" applyFont="1" applyFill="1" applyBorder="1" applyAlignment="1">
      <alignment horizontal="right" vertical="center" wrapText="1"/>
    </xf>
    <xf numFmtId="38" fontId="2" fillId="0" borderId="23" xfId="48" applyFont="1" applyFill="1" applyBorder="1" applyAlignment="1">
      <alignment horizontal="right" vertical="center" wrapText="1"/>
    </xf>
    <xf numFmtId="38" fontId="2" fillId="0" borderId="47" xfId="48" applyFont="1" applyFill="1" applyBorder="1" applyAlignment="1">
      <alignment horizontal="right" vertical="center" wrapText="1"/>
    </xf>
    <xf numFmtId="38" fontId="3" fillId="0" borderId="14" xfId="48" applyFont="1" applyFill="1" applyBorder="1" applyAlignment="1">
      <alignment vertical="center" textRotation="255"/>
    </xf>
    <xf numFmtId="38" fontId="5" fillId="0" borderId="17" xfId="48" applyFont="1" applyFill="1" applyBorder="1" applyAlignment="1">
      <alignment horizontal="right" vertical="center" shrinkToFit="1"/>
    </xf>
    <xf numFmtId="199" fontId="0" fillId="0" borderId="19" xfId="48" applyNumberFormat="1" applyFont="1" applyFill="1" applyBorder="1" applyAlignment="1">
      <alignment vertical="center"/>
    </xf>
    <xf numFmtId="199" fontId="0" fillId="0" borderId="53" xfId="48" applyNumberFormat="1" applyFont="1" applyFill="1" applyBorder="1" applyAlignment="1">
      <alignment vertical="center"/>
    </xf>
    <xf numFmtId="199" fontId="0" fillId="0" borderId="34" xfId="48" applyNumberFormat="1" applyFont="1" applyFill="1" applyBorder="1" applyAlignment="1">
      <alignment vertical="center"/>
    </xf>
    <xf numFmtId="199" fontId="0" fillId="0" borderId="34" xfId="48" applyNumberFormat="1" applyFont="1" applyFill="1" applyBorder="1" applyAlignment="1">
      <alignment vertical="center"/>
    </xf>
    <xf numFmtId="199" fontId="0" fillId="0" borderId="131" xfId="48" applyNumberFormat="1" applyFont="1" applyFill="1" applyBorder="1" applyAlignment="1">
      <alignment vertical="center"/>
    </xf>
    <xf numFmtId="199" fontId="0" fillId="0" borderId="131" xfId="48" applyNumberFormat="1" applyFont="1" applyFill="1" applyBorder="1" applyAlignment="1">
      <alignment vertical="center"/>
    </xf>
    <xf numFmtId="199" fontId="0" fillId="0" borderId="35" xfId="48" applyNumberFormat="1" applyFont="1" applyFill="1" applyBorder="1" applyAlignment="1">
      <alignment vertical="center"/>
    </xf>
    <xf numFmtId="199" fontId="0" fillId="0" borderId="38" xfId="48" applyNumberFormat="1" applyFont="1" applyFill="1" applyBorder="1" applyAlignment="1">
      <alignment vertical="center"/>
    </xf>
    <xf numFmtId="199" fontId="0" fillId="0" borderId="34" xfId="48" applyNumberFormat="1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vertical="center" textRotation="255"/>
    </xf>
    <xf numFmtId="38" fontId="5" fillId="0" borderId="90" xfId="48" applyFont="1" applyFill="1" applyBorder="1" applyAlignment="1">
      <alignment horizontal="right" vertical="center" shrinkToFit="1"/>
    </xf>
    <xf numFmtId="199" fontId="0" fillId="0" borderId="21" xfId="48" applyNumberFormat="1" applyFont="1" applyFill="1" applyBorder="1" applyAlignment="1">
      <alignment vertical="center"/>
    </xf>
    <xf numFmtId="199" fontId="0" fillId="0" borderId="132" xfId="48" applyNumberFormat="1" applyFont="1" applyFill="1" applyBorder="1" applyAlignment="1">
      <alignment vertical="center"/>
    </xf>
    <xf numFmtId="199" fontId="0" fillId="0" borderId="90" xfId="48" applyNumberFormat="1" applyFont="1" applyFill="1" applyBorder="1" applyAlignment="1">
      <alignment vertical="center"/>
    </xf>
    <xf numFmtId="199" fontId="0" fillId="0" borderId="90" xfId="48" applyNumberFormat="1" applyFont="1" applyFill="1" applyBorder="1" applyAlignment="1">
      <alignment vertical="center"/>
    </xf>
    <xf numFmtId="199" fontId="0" fillId="0" borderId="133" xfId="48" applyNumberFormat="1" applyFont="1" applyFill="1" applyBorder="1" applyAlignment="1">
      <alignment vertical="center"/>
    </xf>
    <xf numFmtId="199" fontId="0" fillId="0" borderId="134" xfId="48" applyNumberFormat="1" applyFont="1" applyFill="1" applyBorder="1" applyAlignment="1">
      <alignment vertical="center"/>
    </xf>
    <xf numFmtId="199" fontId="0" fillId="0" borderId="90" xfId="48" applyNumberFormat="1" applyFont="1" applyFill="1" applyBorder="1" applyAlignment="1">
      <alignment horizontal="right" vertical="center"/>
    </xf>
    <xf numFmtId="199" fontId="0" fillId="0" borderId="135" xfId="48" applyNumberFormat="1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3" fillId="0" borderId="15" xfId="48" applyFont="1" applyFill="1" applyBorder="1" applyAlignment="1">
      <alignment vertical="center" textRotation="255" shrinkToFit="1"/>
    </xf>
    <xf numFmtId="199" fontId="0" fillId="0" borderId="134" xfId="48" applyNumberFormat="1" applyFont="1" applyFill="1" applyBorder="1" applyAlignment="1">
      <alignment horizontal="right" vertical="center"/>
    </xf>
    <xf numFmtId="199" fontId="0" fillId="0" borderId="133" xfId="48" applyNumberFormat="1" applyFont="1" applyFill="1" applyBorder="1" applyAlignment="1">
      <alignment horizontal="right" vertical="center"/>
    </xf>
    <xf numFmtId="199" fontId="0" fillId="0" borderId="44" xfId="48" applyNumberFormat="1" applyFont="1" applyFill="1" applyBorder="1" applyAlignment="1">
      <alignment vertical="center"/>
    </xf>
    <xf numFmtId="199" fontId="0" fillId="0" borderId="20" xfId="48" applyNumberFormat="1" applyFont="1" applyFill="1" applyBorder="1" applyAlignment="1">
      <alignment vertical="center"/>
    </xf>
    <xf numFmtId="199" fontId="0" fillId="0" borderId="15" xfId="48" applyNumberFormat="1" applyFont="1" applyFill="1" applyBorder="1" applyAlignment="1">
      <alignment vertical="center"/>
    </xf>
    <xf numFmtId="199" fontId="0" fillId="0" borderId="20" xfId="48" applyNumberFormat="1" applyFont="1" applyFill="1" applyBorder="1" applyAlignment="1">
      <alignment horizontal="right" vertical="center"/>
    </xf>
    <xf numFmtId="38" fontId="3" fillId="0" borderId="33" xfId="48" applyFont="1" applyFill="1" applyBorder="1" applyAlignment="1">
      <alignment vertical="center" textRotation="255"/>
    </xf>
    <xf numFmtId="38" fontId="5" fillId="0" borderId="26" xfId="48" applyFont="1" applyFill="1" applyBorder="1" applyAlignment="1">
      <alignment horizontal="right" vertical="center" shrinkToFit="1"/>
    </xf>
    <xf numFmtId="199" fontId="0" fillId="0" borderId="32" xfId="48" applyNumberFormat="1" applyFont="1" applyFill="1" applyBorder="1" applyAlignment="1">
      <alignment vertical="center"/>
    </xf>
    <xf numFmtId="199" fontId="0" fillId="0" borderId="136" xfId="48" applyNumberFormat="1" applyFont="1" applyFill="1" applyBorder="1" applyAlignment="1">
      <alignment vertical="center"/>
    </xf>
    <xf numFmtId="199" fontId="0" fillId="0" borderId="26" xfId="48" applyNumberFormat="1" applyFont="1" applyFill="1" applyBorder="1" applyAlignment="1">
      <alignment vertical="center"/>
    </xf>
    <xf numFmtId="199" fontId="0" fillId="0" borderId="49" xfId="48" applyNumberFormat="1" applyFont="1" applyFill="1" applyBorder="1" applyAlignment="1">
      <alignment vertical="center"/>
    </xf>
    <xf numFmtId="199" fontId="0" fillId="0" borderId="25" xfId="48" applyNumberFormat="1" applyFont="1" applyFill="1" applyBorder="1" applyAlignment="1">
      <alignment vertical="center"/>
    </xf>
    <xf numFmtId="199" fontId="0" fillId="0" borderId="26" xfId="48" applyNumberFormat="1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196" fontId="3" fillId="0" borderId="20" xfId="48" applyNumberFormat="1" applyFont="1" applyBorder="1" applyAlignment="1">
      <alignment vertical="center"/>
    </xf>
    <xf numFmtId="196" fontId="3" fillId="0" borderId="20" xfId="0" applyNumberFormat="1" applyFont="1" applyBorder="1" applyAlignment="1">
      <alignment vertical="center"/>
    </xf>
    <xf numFmtId="196" fontId="3" fillId="0" borderId="21" xfId="0" applyNumberFormat="1" applyFont="1" applyBorder="1" applyAlignment="1">
      <alignment vertical="center"/>
    </xf>
    <xf numFmtId="196" fontId="3" fillId="0" borderId="20" xfId="0" applyNumberFormat="1" applyFont="1" applyBorder="1" applyAlignment="1">
      <alignment horizontal="right" vertical="center"/>
    </xf>
    <xf numFmtId="196" fontId="3" fillId="0" borderId="2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196" fontId="3" fillId="0" borderId="43" xfId="0" applyNumberFormat="1" applyFont="1" applyBorder="1" applyAlignment="1">
      <alignment vertical="center"/>
    </xf>
    <xf numFmtId="196" fontId="3" fillId="0" borderId="64" xfId="0" applyNumberFormat="1" applyFont="1" applyBorder="1" applyAlignment="1">
      <alignment vertical="center"/>
    </xf>
    <xf numFmtId="196" fontId="3" fillId="0" borderId="44" xfId="0" applyNumberFormat="1" applyFont="1" applyBorder="1" applyAlignment="1">
      <alignment vertical="center"/>
    </xf>
    <xf numFmtId="196" fontId="3" fillId="0" borderId="20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196" fontId="3" fillId="0" borderId="23" xfId="0" applyNumberFormat="1" applyFont="1" applyBorder="1" applyAlignment="1">
      <alignment vertical="center"/>
    </xf>
    <xf numFmtId="196" fontId="3" fillId="0" borderId="23" xfId="48" applyNumberFormat="1" applyFont="1" applyBorder="1" applyAlignment="1">
      <alignment vertical="center"/>
    </xf>
    <xf numFmtId="196" fontId="3" fillId="0" borderId="23" xfId="0" applyNumberFormat="1" applyFont="1" applyBorder="1" applyAlignment="1">
      <alignment horizontal="right" vertical="center"/>
    </xf>
    <xf numFmtId="196" fontId="3" fillId="0" borderId="32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0" fontId="0" fillId="0" borderId="65" xfId="0" applyFont="1" applyBorder="1" applyAlignment="1">
      <alignment horizontal="right" vertical="center"/>
    </xf>
    <xf numFmtId="41" fontId="3" fillId="0" borderId="20" xfId="48" applyNumberFormat="1" applyFont="1" applyBorder="1" applyAlignment="1">
      <alignment vertical="center"/>
    </xf>
    <xf numFmtId="41" fontId="3" fillId="0" borderId="43" xfId="0" applyNumberFormat="1" applyFont="1" applyBorder="1" applyAlignment="1">
      <alignment vertical="center"/>
    </xf>
    <xf numFmtId="41" fontId="3" fillId="0" borderId="64" xfId="0" applyNumberFormat="1" applyFont="1" applyBorder="1" applyAlignment="1">
      <alignment vertical="center"/>
    </xf>
    <xf numFmtId="41" fontId="3" fillId="0" borderId="44" xfId="0" applyNumberFormat="1" applyFont="1" applyBorder="1" applyAlignment="1">
      <alignment vertical="center"/>
    </xf>
    <xf numFmtId="41" fontId="3" fillId="0" borderId="36" xfId="0" applyNumberFormat="1" applyFont="1" applyBorder="1" applyAlignment="1">
      <alignment vertical="center"/>
    </xf>
    <xf numFmtId="41" fontId="3" fillId="0" borderId="37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3" fillId="0" borderId="36" xfId="0" applyNumberFormat="1" applyFont="1" applyBorder="1" applyAlignment="1">
      <alignment horizontal="right" vertical="center"/>
    </xf>
    <xf numFmtId="41" fontId="3" fillId="0" borderId="37" xfId="0" applyNumberFormat="1" applyFon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3" fillId="0" borderId="64" xfId="0" applyNumberFormat="1" applyFont="1" applyBorder="1" applyAlignment="1">
      <alignment horizontal="right" vertical="center"/>
    </xf>
    <xf numFmtId="41" fontId="3" fillId="0" borderId="65" xfId="0" applyNumberFormat="1" applyFont="1" applyBorder="1" applyAlignment="1">
      <alignment horizontal="right" vertical="center"/>
    </xf>
    <xf numFmtId="41" fontId="3" fillId="0" borderId="40" xfId="0" applyNumberFormat="1" applyFont="1" applyBorder="1" applyAlignment="1">
      <alignment horizontal="right" vertical="center"/>
    </xf>
    <xf numFmtId="41" fontId="3" fillId="0" borderId="61" xfId="0" applyNumberFormat="1" applyFont="1" applyBorder="1" applyAlignment="1">
      <alignment horizontal="right" vertical="center"/>
    </xf>
    <xf numFmtId="41" fontId="3" fillId="0" borderId="41" xfId="0" applyNumberFormat="1" applyFont="1" applyBorder="1" applyAlignment="1">
      <alignment horizontal="right" vertical="center"/>
    </xf>
    <xf numFmtId="41" fontId="3" fillId="0" borderId="63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1" fontId="3" fillId="0" borderId="23" xfId="48" applyNumberFormat="1" applyFont="1" applyBorder="1" applyAlignment="1">
      <alignment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201" fontId="3" fillId="0" borderId="20" xfId="0" applyNumberFormat="1" applyFont="1" applyFill="1" applyBorder="1" applyAlignment="1">
      <alignment vertical="center"/>
    </xf>
    <xf numFmtId="201" fontId="3" fillId="0" borderId="21" xfId="0" applyNumberFormat="1" applyFont="1" applyFill="1" applyBorder="1" applyAlignment="1">
      <alignment vertical="center"/>
    </xf>
    <xf numFmtId="201" fontId="3" fillId="0" borderId="20" xfId="0" applyNumberFormat="1" applyFont="1" applyBorder="1" applyAlignment="1">
      <alignment vertical="center"/>
    </xf>
    <xf numFmtId="201" fontId="3" fillId="0" borderId="20" xfId="0" applyNumberFormat="1" applyFont="1" applyFill="1" applyBorder="1" applyAlignment="1">
      <alignment horizontal="right" vertical="center"/>
    </xf>
    <xf numFmtId="201" fontId="3" fillId="0" borderId="21" xfId="0" applyNumberFormat="1" applyFont="1" applyFill="1" applyBorder="1" applyAlignment="1">
      <alignment horizontal="right" vertical="center"/>
    </xf>
    <xf numFmtId="201" fontId="3" fillId="0" borderId="20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01" fontId="3" fillId="0" borderId="23" xfId="0" applyNumberFormat="1" applyFont="1" applyBorder="1" applyAlignment="1">
      <alignment vertical="center"/>
    </xf>
    <xf numFmtId="201" fontId="3" fillId="0" borderId="23" xfId="0" applyNumberFormat="1" applyFont="1" applyFill="1" applyBorder="1" applyAlignment="1">
      <alignment vertical="center"/>
    </xf>
    <xf numFmtId="201" fontId="3" fillId="0" borderId="32" xfId="0" applyNumberFormat="1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1" fontId="3" fillId="0" borderId="20" xfId="48" applyNumberFormat="1" applyFont="1" applyBorder="1" applyAlignment="1">
      <alignment horizontal="right" vertical="center"/>
    </xf>
    <xf numFmtId="41" fontId="3" fillId="0" borderId="20" xfId="48" applyNumberFormat="1" applyFont="1" applyFill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1" fontId="3" fillId="0" borderId="20" xfId="48" applyNumberFormat="1" applyFont="1" applyBorder="1" applyAlignment="1">
      <alignment vertical="center"/>
    </xf>
    <xf numFmtId="41" fontId="3" fillId="0" borderId="21" xfId="48" applyNumberFormat="1" applyFont="1" applyFill="1" applyBorder="1" applyAlignment="1">
      <alignment vertical="center"/>
    </xf>
    <xf numFmtId="41" fontId="56" fillId="0" borderId="20" xfId="60" applyNumberFormat="1" applyFont="1" applyBorder="1" applyAlignment="1">
      <alignment horizontal="right" vertical="center"/>
      <protection/>
    </xf>
    <xf numFmtId="41" fontId="56" fillId="0" borderId="21" xfId="60" applyNumberFormat="1" applyFont="1" applyBorder="1" applyAlignment="1">
      <alignment horizontal="right" vertical="center"/>
      <protection/>
    </xf>
    <xf numFmtId="41" fontId="56" fillId="0" borderId="20" xfId="60" applyNumberFormat="1" applyFont="1" applyFill="1" applyBorder="1" applyAlignment="1">
      <alignment horizontal="right" vertical="center"/>
      <protection/>
    </xf>
    <xf numFmtId="41" fontId="56" fillId="0" borderId="21" xfId="60" applyNumberFormat="1" applyFont="1" applyFill="1" applyBorder="1" applyAlignment="1">
      <alignment horizontal="right" vertical="center"/>
      <protection/>
    </xf>
    <xf numFmtId="41" fontId="56" fillId="0" borderId="23" xfId="60" applyNumberFormat="1" applyFont="1" applyFill="1" applyBorder="1" applyAlignment="1">
      <alignment horizontal="right" vertical="center"/>
      <protection/>
    </xf>
    <xf numFmtId="41" fontId="56" fillId="0" borderId="32" xfId="60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3" fontId="25" fillId="0" borderId="12" xfId="0" applyNumberFormat="1" applyFont="1" applyFill="1" applyBorder="1" applyAlignment="1">
      <alignment horizontal="left" vertical="center" shrinkToFit="1"/>
    </xf>
    <xf numFmtId="0" fontId="25" fillId="0" borderId="7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41" fontId="3" fillId="0" borderId="20" xfId="48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193" fontId="3" fillId="0" borderId="7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textRotation="255"/>
    </xf>
    <xf numFmtId="193" fontId="3" fillId="0" borderId="71" xfId="0" applyNumberFormat="1" applyFont="1" applyFill="1" applyBorder="1" applyAlignment="1">
      <alignment horizontal="right" vertical="center"/>
    </xf>
    <xf numFmtId="176" fontId="3" fillId="0" borderId="71" xfId="0" applyNumberFormat="1" applyFont="1" applyFill="1" applyBorder="1" applyAlignment="1">
      <alignment vertical="center"/>
    </xf>
    <xf numFmtId="176" fontId="3" fillId="0" borderId="71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 textRotation="255"/>
    </xf>
    <xf numFmtId="0" fontId="3" fillId="0" borderId="26" xfId="0" applyFont="1" applyFill="1" applyBorder="1" applyAlignment="1">
      <alignment horizontal="right" vertical="center"/>
    </xf>
    <xf numFmtId="41" fontId="3" fillId="0" borderId="23" xfId="48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49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68" xfId="0" applyFont="1" applyBorder="1" applyAlignment="1">
      <alignment horizontal="center" vertical="center" wrapText="1"/>
    </xf>
    <xf numFmtId="41" fontId="3" fillId="0" borderId="21" xfId="48" applyNumberFormat="1" applyFont="1" applyBorder="1" applyAlignment="1">
      <alignment vertical="center"/>
    </xf>
    <xf numFmtId="41" fontId="3" fillId="0" borderId="43" xfId="48" applyNumberFormat="1" applyFont="1" applyBorder="1" applyAlignment="1">
      <alignment vertical="center"/>
    </xf>
    <xf numFmtId="41" fontId="3" fillId="0" borderId="65" xfId="48" applyNumberFormat="1" applyFont="1" applyBorder="1" applyAlignment="1">
      <alignment vertical="center"/>
    </xf>
    <xf numFmtId="41" fontId="3" fillId="0" borderId="23" xfId="48" applyNumberFormat="1" applyFont="1" applyBorder="1" applyAlignment="1">
      <alignment vertical="center"/>
    </xf>
    <xf numFmtId="41" fontId="3" fillId="0" borderId="46" xfId="48" applyNumberFormat="1" applyFont="1" applyBorder="1" applyAlignment="1">
      <alignment vertical="center"/>
    </xf>
    <xf numFmtId="41" fontId="3" fillId="0" borderId="32" xfId="48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41" fontId="31" fillId="0" borderId="20" xfId="60" applyNumberFormat="1" applyFont="1" applyBorder="1" applyAlignment="1">
      <alignment horizontal="right" vertical="center"/>
      <protection/>
    </xf>
    <xf numFmtId="41" fontId="31" fillId="0" borderId="21" xfId="60" applyNumberFormat="1" applyFont="1" applyBorder="1" applyAlignment="1">
      <alignment horizontal="right" vertical="center"/>
      <protection/>
    </xf>
    <xf numFmtId="41" fontId="3" fillId="0" borderId="21" xfId="48" applyNumberFormat="1" applyFont="1" applyBorder="1" applyAlignment="1">
      <alignment horizontal="right" vertical="center"/>
    </xf>
    <xf numFmtId="41" fontId="31" fillId="0" borderId="23" xfId="60" applyNumberFormat="1" applyFont="1" applyBorder="1" applyAlignment="1">
      <alignment horizontal="right" vertical="center"/>
      <protection/>
    </xf>
    <xf numFmtId="41" fontId="3" fillId="0" borderId="23" xfId="48" applyNumberFormat="1" applyFont="1" applyBorder="1" applyAlignment="1">
      <alignment horizontal="right" vertical="center"/>
    </xf>
    <xf numFmtId="41" fontId="31" fillId="0" borderId="32" xfId="60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56" xfId="0" applyFont="1" applyBorder="1" applyAlignment="1">
      <alignment horizontal="right"/>
    </xf>
    <xf numFmtId="0" fontId="24" fillId="0" borderId="1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4" fillId="0" borderId="12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176" fontId="3" fillId="0" borderId="137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76" fontId="3" fillId="0" borderId="71" xfId="0" applyNumberFormat="1" applyFont="1" applyBorder="1" applyAlignment="1">
      <alignment vertical="center"/>
    </xf>
    <xf numFmtId="176" fontId="3" fillId="0" borderId="60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3" fillId="0" borderId="16" xfId="61" applyNumberFormat="1" applyFont="1" applyFill="1" applyBorder="1" applyAlignment="1">
      <alignment vertical="center" wrapText="1"/>
      <protection/>
    </xf>
    <xf numFmtId="0" fontId="5" fillId="0" borderId="122" xfId="0" applyFont="1" applyFill="1" applyBorder="1" applyAlignment="1">
      <alignment horizontal="center" vertical="center" wrapText="1"/>
    </xf>
    <xf numFmtId="176" fontId="3" fillId="0" borderId="138" xfId="0" applyNumberFormat="1" applyFont="1" applyBorder="1" applyAlignment="1">
      <alignment vertical="center"/>
    </xf>
    <xf numFmtId="176" fontId="3" fillId="0" borderId="136" xfId="0" applyNumberFormat="1" applyFont="1" applyBorder="1" applyAlignment="1">
      <alignment vertical="center"/>
    </xf>
    <xf numFmtId="176" fontId="3" fillId="0" borderId="128" xfId="0" applyNumberFormat="1" applyFont="1" applyBorder="1" applyAlignment="1">
      <alignment vertical="center"/>
    </xf>
    <xf numFmtId="176" fontId="3" fillId="0" borderId="139" xfId="0" applyNumberFormat="1" applyFont="1" applyBorder="1" applyAlignment="1">
      <alignment vertical="center"/>
    </xf>
    <xf numFmtId="0" fontId="33" fillId="0" borderId="121" xfId="61" applyNumberFormat="1" applyFont="1" applyFill="1" applyBorder="1" applyAlignment="1">
      <alignment vertical="center" wrapText="1"/>
      <protection/>
    </xf>
    <xf numFmtId="176" fontId="3" fillId="0" borderId="18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33" fillId="0" borderId="17" xfId="61" applyNumberFormat="1" applyFont="1" applyFill="1" applyBorder="1" applyAlignment="1">
      <alignment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30" fillId="0" borderId="137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21" xfId="0" applyNumberFormat="1" applyFont="1" applyFill="1" applyBorder="1" applyAlignment="1">
      <alignment horizontal="right" vertical="center"/>
    </xf>
    <xf numFmtId="41" fontId="3" fillId="0" borderId="45" xfId="0" applyNumberFormat="1" applyFont="1" applyFill="1" applyBorder="1" applyAlignment="1">
      <alignment horizontal="right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41" fontId="3" fillId="0" borderId="122" xfId="0" applyNumberFormat="1" applyFont="1" applyFill="1" applyBorder="1" applyAlignment="1">
      <alignment horizontal="right" vertical="center"/>
    </xf>
    <xf numFmtId="0" fontId="30" fillId="0" borderId="72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5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176" fontId="3" fillId="0" borderId="15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34" fillId="0" borderId="16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5" fillId="0" borderId="69" xfId="0" applyFont="1" applyBorder="1" applyAlignment="1">
      <alignment horizontal="center" vertical="center" wrapText="1" shrinkToFit="1"/>
    </xf>
    <xf numFmtId="0" fontId="34" fillId="0" borderId="55" xfId="0" applyFont="1" applyBorder="1" applyAlignment="1">
      <alignment horizontal="center" vertical="center" wrapText="1" shrinkToFit="1"/>
    </xf>
    <xf numFmtId="0" fontId="5" fillId="0" borderId="121" xfId="0" applyFont="1" applyBorder="1" applyAlignment="1">
      <alignment horizontal="center" vertical="center" wrapText="1" shrinkToFit="1"/>
    </xf>
    <xf numFmtId="0" fontId="34" fillId="0" borderId="121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62" xfId="0" applyFont="1" applyBorder="1" applyAlignment="1">
      <alignment horizontal="center" vertical="center" wrapText="1" shrinkToFit="1"/>
    </xf>
    <xf numFmtId="0" fontId="34" fillId="0" borderId="1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34" fillId="0" borderId="17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63" xfId="0" applyFont="1" applyBorder="1" applyAlignment="1">
      <alignment horizontal="center" vertical="center" wrapText="1" shrinkToFit="1"/>
    </xf>
    <xf numFmtId="176" fontId="3" fillId="0" borderId="1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55" xfId="0" applyNumberFormat="1" applyFont="1" applyBorder="1" applyAlignment="1">
      <alignment vertical="center"/>
    </xf>
    <xf numFmtId="176" fontId="3" fillId="0" borderId="121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30" fillId="0" borderId="138" xfId="0" applyFont="1" applyFill="1" applyBorder="1" applyAlignment="1">
      <alignment horizontal="center" vertical="center"/>
    </xf>
    <xf numFmtId="0" fontId="30" fillId="0" borderId="136" xfId="0" applyFont="1" applyFill="1" applyBorder="1" applyAlignment="1">
      <alignment horizontal="center" vertical="center"/>
    </xf>
    <xf numFmtId="41" fontId="3" fillId="0" borderId="26" xfId="0" applyNumberFormat="1" applyFont="1" applyFill="1" applyBorder="1" applyAlignment="1">
      <alignment horizontal="right" vertical="center"/>
    </xf>
    <xf numFmtId="41" fontId="3" fillId="0" borderId="4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1" xfId="0" applyFont="1" applyBorder="1" applyAlignment="1">
      <alignment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0" fillId="0" borderId="121" xfId="0" applyBorder="1" applyAlignment="1">
      <alignment horizontal="center" vertical="center"/>
    </xf>
    <xf numFmtId="0" fontId="3" fillId="0" borderId="71" xfId="0" applyFont="1" applyBorder="1" applyAlignment="1">
      <alignment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1" fontId="3" fillId="0" borderId="43" xfId="48" applyNumberFormat="1" applyFont="1" applyBorder="1" applyAlignment="1">
      <alignment horizontal="center" vertical="center"/>
    </xf>
    <xf numFmtId="41" fontId="3" fillId="0" borderId="65" xfId="48" applyNumberFormat="1" applyFont="1" applyBorder="1" applyAlignment="1">
      <alignment horizontal="center" vertical="center"/>
    </xf>
    <xf numFmtId="41" fontId="3" fillId="0" borderId="44" xfId="48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43" xfId="0" applyNumberFormat="1" applyFont="1" applyBorder="1" applyAlignment="1">
      <alignment horizontal="center" vertical="center"/>
    </xf>
    <xf numFmtId="41" fontId="3" fillId="0" borderId="64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3" fillId="0" borderId="43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horizontal="right" vertical="center"/>
    </xf>
    <xf numFmtId="193" fontId="3" fillId="0" borderId="71" xfId="0" applyNumberFormat="1" applyFont="1" applyBorder="1" applyAlignment="1">
      <alignment vertical="center"/>
    </xf>
    <xf numFmtId="41" fontId="3" fillId="0" borderId="65" xfId="0" applyNumberFormat="1" applyFont="1" applyBorder="1" applyAlignment="1">
      <alignment horizontal="center" vertical="center"/>
    </xf>
    <xf numFmtId="41" fontId="56" fillId="0" borderId="44" xfId="0" applyNumberFormat="1" applyFont="1" applyBorder="1" applyAlignment="1">
      <alignment horizontal="right" vertical="center"/>
    </xf>
    <xf numFmtId="41" fontId="56" fillId="0" borderId="20" xfId="0" applyNumberFormat="1" applyFont="1" applyBorder="1" applyAlignment="1">
      <alignment horizontal="right" vertical="center"/>
    </xf>
    <xf numFmtId="41" fontId="53" fillId="0" borderId="20" xfId="0" applyNumberFormat="1" applyFont="1" applyBorder="1" applyAlignment="1">
      <alignment horizontal="center" vertical="center"/>
    </xf>
    <xf numFmtId="193" fontId="3" fillId="0" borderId="71" xfId="0" applyNumberFormat="1" applyFont="1" applyBorder="1" applyAlignment="1">
      <alignment horizontal="right" vertical="center"/>
    </xf>
    <xf numFmtId="41" fontId="53" fillId="0" borderId="44" xfId="0" applyNumberFormat="1" applyFont="1" applyBorder="1" applyAlignment="1">
      <alignment vertical="center"/>
    </xf>
    <xf numFmtId="41" fontId="53" fillId="0" borderId="20" xfId="0" applyNumberFormat="1" applyFont="1" applyBorder="1" applyAlignment="1">
      <alignment horizontal="right" vertical="center"/>
    </xf>
    <xf numFmtId="41" fontId="53" fillId="0" borderId="20" xfId="0" applyNumberFormat="1" applyFont="1" applyBorder="1" applyAlignment="1">
      <alignment vertical="center"/>
    </xf>
    <xf numFmtId="41" fontId="53" fillId="0" borderId="20" xfId="0" applyNumberFormat="1" applyFont="1" applyBorder="1" applyAlignment="1">
      <alignment vertical="center"/>
    </xf>
    <xf numFmtId="41" fontId="3" fillId="0" borderId="44" xfId="0" applyNumberFormat="1" applyFont="1" applyBorder="1" applyAlignment="1">
      <alignment vertical="center"/>
    </xf>
    <xf numFmtId="41" fontId="3" fillId="0" borderId="46" xfId="0" applyNumberFormat="1" applyFont="1" applyBorder="1" applyAlignment="1">
      <alignment horizontal="center" vertical="center"/>
    </xf>
    <xf numFmtId="41" fontId="3" fillId="0" borderId="67" xfId="0" applyNumberFormat="1" applyFont="1" applyBorder="1" applyAlignment="1">
      <alignment horizontal="center" vertical="center"/>
    </xf>
    <xf numFmtId="41" fontId="3" fillId="0" borderId="47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3" fillId="0" borderId="66" xfId="0" applyNumberFormat="1" applyFont="1" applyBorder="1" applyAlignment="1">
      <alignment horizontal="center" vertical="center"/>
    </xf>
    <xf numFmtId="41" fontId="3" fillId="0" borderId="47" xfId="0" applyNumberFormat="1" applyFont="1" applyBorder="1" applyAlignment="1">
      <alignment horizontal="center" vertical="center"/>
    </xf>
    <xf numFmtId="41" fontId="3" fillId="0" borderId="46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93" fontId="3" fillId="0" borderId="0" xfId="48" applyNumberFormat="1" applyFont="1" applyBorder="1" applyAlignment="1">
      <alignment vertical="center"/>
    </xf>
    <xf numFmtId="193" fontId="3" fillId="0" borderId="0" xfId="0" applyNumberFormat="1" applyFont="1" applyBorder="1" applyAlignment="1">
      <alignment vertical="center"/>
    </xf>
    <xf numFmtId="19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3" fillId="0" borderId="71" xfId="0" applyFont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41" fontId="3" fillId="0" borderId="20" xfId="48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41" fontId="3" fillId="0" borderId="43" xfId="0" applyNumberFormat="1" applyFont="1" applyFill="1" applyBorder="1" applyAlignment="1">
      <alignment horizontal="right" vertical="center"/>
    </xf>
    <xf numFmtId="41" fontId="3" fillId="0" borderId="64" xfId="0" applyNumberFormat="1" applyFont="1" applyFill="1" applyBorder="1" applyAlignment="1">
      <alignment horizontal="right" vertical="center"/>
    </xf>
    <xf numFmtId="41" fontId="3" fillId="0" borderId="44" xfId="0" applyNumberFormat="1" applyFont="1" applyFill="1" applyBorder="1" applyAlignment="1">
      <alignment horizontal="right" vertical="center"/>
    </xf>
    <xf numFmtId="201" fontId="3" fillId="0" borderId="43" xfId="0" applyNumberFormat="1" applyFont="1" applyFill="1" applyBorder="1" applyAlignment="1">
      <alignment vertical="center"/>
    </xf>
    <xf numFmtId="201" fontId="3" fillId="0" borderId="64" xfId="0" applyNumberFormat="1" applyFont="1" applyFill="1" applyBorder="1" applyAlignment="1">
      <alignment vertical="center"/>
    </xf>
    <xf numFmtId="201" fontId="3" fillId="0" borderId="44" xfId="0" applyNumberFormat="1" applyFont="1" applyFill="1" applyBorder="1" applyAlignment="1">
      <alignment vertical="center"/>
    </xf>
    <xf numFmtId="201" fontId="3" fillId="0" borderId="20" xfId="0" applyNumberFormat="1" applyFont="1" applyFill="1" applyBorder="1" applyAlignment="1">
      <alignment vertical="center" wrapText="1"/>
    </xf>
    <xf numFmtId="41" fontId="3" fillId="0" borderId="43" xfId="0" applyNumberFormat="1" applyFont="1" applyFill="1" applyBorder="1" applyAlignment="1">
      <alignment vertical="center"/>
    </xf>
    <xf numFmtId="41" fontId="3" fillId="0" borderId="64" xfId="0" applyNumberFormat="1" applyFont="1" applyFill="1" applyBorder="1" applyAlignment="1">
      <alignment vertical="center"/>
    </xf>
    <xf numFmtId="41" fontId="3" fillId="0" borderId="44" xfId="0" applyNumberFormat="1" applyFont="1" applyFill="1" applyBorder="1" applyAlignment="1">
      <alignment vertical="center"/>
    </xf>
    <xf numFmtId="201" fontId="3" fillId="0" borderId="43" xfId="0" applyNumberFormat="1" applyFont="1" applyFill="1" applyBorder="1" applyAlignment="1">
      <alignment horizontal="right" vertical="center"/>
    </xf>
    <xf numFmtId="201" fontId="3" fillId="0" borderId="64" xfId="0" applyNumberFormat="1" applyFont="1" applyFill="1" applyBorder="1" applyAlignment="1">
      <alignment horizontal="right" vertical="center"/>
    </xf>
    <xf numFmtId="201" fontId="3" fillId="0" borderId="44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195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  <xf numFmtId="0" fontId="0" fillId="0" borderId="6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41" fontId="3" fillId="0" borderId="20" xfId="48" applyNumberFormat="1" applyFont="1" applyFill="1" applyBorder="1" applyAlignment="1">
      <alignment vertical="center"/>
    </xf>
    <xf numFmtId="41" fontId="3" fillId="0" borderId="21" xfId="48" applyNumberFormat="1" applyFont="1" applyFill="1" applyBorder="1" applyAlignment="1">
      <alignment vertical="center"/>
    </xf>
    <xf numFmtId="41" fontId="3" fillId="0" borderId="20" xfId="48" applyNumberFormat="1" applyFont="1" applyFill="1" applyBorder="1" applyAlignment="1">
      <alignment horizontal="right" vertical="center"/>
    </xf>
    <xf numFmtId="41" fontId="3" fillId="0" borderId="43" xfId="48" applyNumberFormat="1" applyFont="1" applyFill="1" applyBorder="1" applyAlignment="1">
      <alignment horizontal="right" vertical="center"/>
    </xf>
    <xf numFmtId="41" fontId="3" fillId="0" borderId="64" xfId="48" applyNumberFormat="1" applyFont="1" applyFill="1" applyBorder="1" applyAlignment="1">
      <alignment horizontal="right" vertical="center"/>
    </xf>
    <xf numFmtId="41" fontId="3" fillId="0" borderId="44" xfId="48" applyNumberFormat="1" applyFont="1" applyFill="1" applyBorder="1" applyAlignment="1">
      <alignment horizontal="right" vertical="center"/>
    </xf>
    <xf numFmtId="41" fontId="3" fillId="0" borderId="21" xfId="48" applyNumberFormat="1" applyFont="1" applyBorder="1" applyAlignment="1">
      <alignment vertical="center"/>
    </xf>
    <xf numFmtId="41" fontId="3" fillId="0" borderId="32" xfId="48" applyNumberFormat="1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56" xfId="48" applyFont="1" applyFill="1" applyBorder="1" applyAlignment="1">
      <alignment horizontal="right" vertical="center"/>
    </xf>
    <xf numFmtId="0" fontId="0" fillId="0" borderId="56" xfId="0" applyFill="1" applyBorder="1" applyAlignment="1">
      <alignment vertical="center"/>
    </xf>
    <xf numFmtId="0" fontId="25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 shrinkToFi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93" fontId="3" fillId="0" borderId="20" xfId="48" applyNumberFormat="1" applyFont="1" applyFill="1" applyBorder="1" applyAlignment="1">
      <alignment vertical="center"/>
    </xf>
    <xf numFmtId="202" fontId="3" fillId="0" borderId="20" xfId="0" applyNumberFormat="1" applyFont="1" applyFill="1" applyBorder="1" applyAlignment="1">
      <alignment vertical="center"/>
    </xf>
    <xf numFmtId="181" fontId="3" fillId="0" borderId="20" xfId="48" applyNumberFormat="1" applyFont="1" applyFill="1" applyBorder="1" applyAlignment="1">
      <alignment horizontal="right" vertical="center"/>
    </xf>
    <xf numFmtId="193" fontId="3" fillId="0" borderId="21" xfId="48" applyNumberFormat="1" applyFont="1" applyFill="1" applyBorder="1" applyAlignment="1">
      <alignment vertical="center"/>
    </xf>
    <xf numFmtId="0" fontId="5" fillId="0" borderId="73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 shrinkToFit="1"/>
    </xf>
    <xf numFmtId="41" fontId="56" fillId="0" borderId="20" xfId="0" applyNumberFormat="1" applyFont="1" applyFill="1" applyBorder="1" applyAlignment="1">
      <alignment horizontal="right" vertical="center"/>
    </xf>
    <xf numFmtId="0" fontId="3" fillId="0" borderId="7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200" fontId="3" fillId="0" borderId="20" xfId="0" applyNumberFormat="1" applyFont="1" applyFill="1" applyBorder="1" applyAlignment="1">
      <alignment vertical="center"/>
    </xf>
    <xf numFmtId="203" fontId="3" fillId="0" borderId="20" xfId="0" applyNumberFormat="1" applyFont="1" applyFill="1" applyBorder="1" applyAlignment="1">
      <alignment vertical="center"/>
    </xf>
    <xf numFmtId="181" fontId="3" fillId="0" borderId="20" xfId="48" applyNumberFormat="1" applyFont="1" applyFill="1" applyBorder="1" applyAlignment="1">
      <alignment vertical="center"/>
    </xf>
    <xf numFmtId="181" fontId="3" fillId="0" borderId="16" xfId="48" applyNumberFormat="1" applyFont="1" applyFill="1" applyBorder="1" applyAlignment="1">
      <alignment vertical="center"/>
    </xf>
    <xf numFmtId="193" fontId="3" fillId="0" borderId="16" xfId="48" applyNumberFormat="1" applyFont="1" applyFill="1" applyBorder="1" applyAlignment="1">
      <alignment vertical="center"/>
    </xf>
    <xf numFmtId="203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45" xfId="48" applyNumberFormat="1" applyFont="1" applyFill="1" applyBorder="1" applyAlignment="1">
      <alignment vertical="center"/>
    </xf>
    <xf numFmtId="0" fontId="3" fillId="0" borderId="138" xfId="0" applyFont="1" applyFill="1" applyBorder="1" applyAlignment="1">
      <alignment vertical="center"/>
    </xf>
    <xf numFmtId="0" fontId="3" fillId="0" borderId="136" xfId="0" applyFont="1" applyFill="1" applyBorder="1" applyAlignment="1">
      <alignment vertical="center"/>
    </xf>
    <xf numFmtId="193" fontId="3" fillId="0" borderId="23" xfId="48" applyNumberFormat="1" applyFont="1" applyFill="1" applyBorder="1" applyAlignment="1">
      <alignment vertical="center"/>
    </xf>
    <xf numFmtId="181" fontId="3" fillId="0" borderId="26" xfId="48" applyNumberFormat="1" applyFont="1" applyFill="1" applyBorder="1" applyAlignment="1">
      <alignment vertical="center"/>
    </xf>
    <xf numFmtId="193" fontId="3" fillId="0" borderId="26" xfId="48" applyNumberFormat="1" applyFont="1" applyFill="1" applyBorder="1" applyAlignment="1">
      <alignment vertical="center"/>
    </xf>
    <xf numFmtId="202" fontId="3" fillId="0" borderId="23" xfId="0" applyNumberFormat="1" applyFont="1" applyFill="1" applyBorder="1" applyAlignment="1">
      <alignment vertical="center"/>
    </xf>
    <xf numFmtId="200" fontId="3" fillId="0" borderId="23" xfId="0" applyNumberFormat="1" applyFont="1" applyFill="1" applyBorder="1" applyAlignment="1">
      <alignment vertical="center"/>
    </xf>
    <xf numFmtId="203" fontId="3" fillId="0" borderId="26" xfId="0" applyNumberFormat="1" applyFont="1" applyFill="1" applyBorder="1" applyAlignment="1">
      <alignment vertical="center"/>
    </xf>
    <xf numFmtId="41" fontId="3" fillId="0" borderId="26" xfId="48" applyNumberFormat="1" applyFont="1" applyFill="1" applyBorder="1" applyAlignment="1">
      <alignment vertical="center"/>
    </xf>
    <xf numFmtId="41" fontId="3" fillId="0" borderId="49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2010結果表・一覧表様式集（農林業経営体調査）扉・本文（印刷後の修正100713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114300</xdr:colOff>
      <xdr:row>56</xdr:row>
      <xdr:rowOff>152400</xdr:rowOff>
    </xdr:from>
    <xdr:ext cx="381000" cy="952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315075" y="128301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workbookViewId="0" topLeftCell="A1">
      <selection activeCell="F31" sqref="F31"/>
    </sheetView>
  </sheetViews>
  <sheetFormatPr defaultColWidth="9.00390625" defaultRowHeight="13.5"/>
  <cols>
    <col min="1" max="1" width="8.00390625" style="0" customWidth="1"/>
    <col min="2" max="2" width="9.125" style="0" customWidth="1"/>
    <col min="3" max="4" width="9.875" style="0" customWidth="1"/>
    <col min="5" max="5" width="10.25390625" style="0" customWidth="1"/>
    <col min="6" max="8" width="9.875" style="0" customWidth="1"/>
    <col min="9" max="9" width="10.25390625" style="0" customWidth="1"/>
  </cols>
  <sheetData>
    <row r="1" ht="23.25" customHeight="1">
      <c r="A1" s="21" t="s">
        <v>28</v>
      </c>
    </row>
    <row r="2" ht="0.75" customHeight="1">
      <c r="A2" s="21"/>
    </row>
    <row r="3" spans="1:9" ht="13.5" customHeight="1">
      <c r="A3" s="17" t="s">
        <v>30</v>
      </c>
      <c r="H3" s="97" t="s">
        <v>49</v>
      </c>
      <c r="I3" s="97"/>
    </row>
    <row r="4" ht="6" customHeight="1" thickBot="1">
      <c r="A4" s="17"/>
    </row>
    <row r="5" spans="1:9" ht="14.25" customHeight="1">
      <c r="A5" s="126" t="s">
        <v>34</v>
      </c>
      <c r="B5" s="136" t="s">
        <v>19</v>
      </c>
      <c r="C5" s="136" t="s">
        <v>20</v>
      </c>
      <c r="D5" s="136"/>
      <c r="E5" s="136"/>
      <c r="F5" s="136"/>
      <c r="G5" s="136"/>
      <c r="H5" s="138" t="s">
        <v>24</v>
      </c>
      <c r="I5" s="134" t="s">
        <v>27</v>
      </c>
    </row>
    <row r="6" spans="1:9" ht="14.25" customHeight="1" thickBot="1">
      <c r="A6" s="127"/>
      <c r="B6" s="137"/>
      <c r="C6" s="18" t="s">
        <v>25</v>
      </c>
      <c r="D6" s="19" t="s">
        <v>21</v>
      </c>
      <c r="E6" s="18" t="s">
        <v>26</v>
      </c>
      <c r="F6" s="20" t="s">
        <v>22</v>
      </c>
      <c r="G6" s="19" t="s">
        <v>23</v>
      </c>
      <c r="H6" s="139"/>
      <c r="I6" s="135"/>
    </row>
    <row r="7" spans="1:9" ht="18" customHeight="1" thickBot="1">
      <c r="A7" s="37" t="s">
        <v>18</v>
      </c>
      <c r="B7" s="28">
        <v>56826</v>
      </c>
      <c r="C7" s="49">
        <v>1333</v>
      </c>
      <c r="D7" s="31">
        <v>469</v>
      </c>
      <c r="E7" s="31">
        <v>574</v>
      </c>
      <c r="F7" s="31">
        <v>243</v>
      </c>
      <c r="G7" s="31">
        <v>47</v>
      </c>
      <c r="H7" s="31">
        <v>25</v>
      </c>
      <c r="I7" s="29">
        <v>55468</v>
      </c>
    </row>
    <row r="8" spans="1:9" ht="15" customHeight="1" thickBot="1">
      <c r="A8" s="45" t="s">
        <v>7</v>
      </c>
      <c r="B8" s="28">
        <v>2624</v>
      </c>
      <c r="C8" s="46">
        <v>75</v>
      </c>
      <c r="D8" s="46">
        <v>35</v>
      </c>
      <c r="E8" s="46">
        <v>34</v>
      </c>
      <c r="F8" s="46">
        <v>6</v>
      </c>
      <c r="G8" s="47" t="s">
        <v>44</v>
      </c>
      <c r="H8" s="47">
        <v>1</v>
      </c>
      <c r="I8" s="48">
        <v>2548</v>
      </c>
    </row>
    <row r="9" spans="1:7" ht="13.5" customHeight="1">
      <c r="A9" s="21"/>
      <c r="G9" s="30"/>
    </row>
    <row r="10" ht="13.5" customHeight="1">
      <c r="A10" s="21"/>
    </row>
    <row r="11" ht="15.75" customHeight="1">
      <c r="A11" t="s">
        <v>31</v>
      </c>
    </row>
    <row r="12" ht="6" customHeight="1" thickBot="1"/>
    <row r="13" spans="1:9" ht="16.5" customHeight="1" thickBot="1">
      <c r="A13" s="145" t="s">
        <v>13</v>
      </c>
      <c r="B13" s="123" t="s">
        <v>29</v>
      </c>
      <c r="C13" s="124"/>
      <c r="D13" s="124"/>
      <c r="E13" s="125"/>
      <c r="F13" s="123" t="s">
        <v>7</v>
      </c>
      <c r="G13" s="124"/>
      <c r="H13" s="124"/>
      <c r="I13" s="125"/>
    </row>
    <row r="14" spans="1:9" ht="15.75" customHeight="1">
      <c r="A14" s="146"/>
      <c r="B14" s="126" t="s">
        <v>10</v>
      </c>
      <c r="C14" s="128" t="s">
        <v>11</v>
      </c>
      <c r="D14" s="129"/>
      <c r="E14" s="130" t="s">
        <v>48</v>
      </c>
      <c r="F14" s="126" t="s">
        <v>10</v>
      </c>
      <c r="G14" s="128" t="s">
        <v>11</v>
      </c>
      <c r="H14" s="129"/>
      <c r="I14" s="130" t="s">
        <v>48</v>
      </c>
    </row>
    <row r="15" spans="1:9" ht="15.75" customHeight="1" thickBot="1">
      <c r="A15" s="147"/>
      <c r="B15" s="127"/>
      <c r="C15" s="35" t="s">
        <v>14</v>
      </c>
      <c r="D15" s="35" t="s">
        <v>12</v>
      </c>
      <c r="E15" s="131"/>
      <c r="F15" s="127"/>
      <c r="G15" s="35" t="s">
        <v>14</v>
      </c>
      <c r="H15" s="35" t="s">
        <v>12</v>
      </c>
      <c r="I15" s="131"/>
    </row>
    <row r="16" spans="1:9" ht="11.25" customHeight="1">
      <c r="A16" s="50"/>
      <c r="B16" s="1" t="s">
        <v>8</v>
      </c>
      <c r="C16" s="2" t="s">
        <v>8</v>
      </c>
      <c r="D16" s="2" t="s">
        <v>9</v>
      </c>
      <c r="E16" s="3"/>
      <c r="F16" s="1" t="s">
        <v>8</v>
      </c>
      <c r="G16" s="2" t="s">
        <v>8</v>
      </c>
      <c r="H16" s="2" t="s">
        <v>9</v>
      </c>
      <c r="I16" s="3"/>
    </row>
    <row r="17" spans="1:9" ht="15" customHeight="1">
      <c r="A17" s="51" t="s">
        <v>47</v>
      </c>
      <c r="B17" s="11">
        <v>204246</v>
      </c>
      <c r="C17" s="56">
        <v>-8007</v>
      </c>
      <c r="D17" s="26">
        <v>-3.8</v>
      </c>
      <c r="E17" s="13">
        <v>100</v>
      </c>
      <c r="F17" s="11">
        <v>5367</v>
      </c>
      <c r="G17" s="23">
        <v>-140</v>
      </c>
      <c r="H17" s="26">
        <v>-2.5</v>
      </c>
      <c r="I17" s="13">
        <v>100</v>
      </c>
    </row>
    <row r="18" spans="1:9" ht="15" customHeight="1">
      <c r="A18" s="52" t="s">
        <v>0</v>
      </c>
      <c r="B18" s="14">
        <v>194480</v>
      </c>
      <c r="C18" s="25">
        <f aca="true" t="shared" si="0" ref="C18:C27">B18-B17</f>
        <v>-9766</v>
      </c>
      <c r="D18" s="26">
        <f aca="true" t="shared" si="1" ref="D18:D27">C18/B17*100</f>
        <v>-4.781488988768446</v>
      </c>
      <c r="E18" s="16">
        <f aca="true" t="shared" si="2" ref="E18:E27">B18/$B$17*100</f>
        <v>95.21851101123156</v>
      </c>
      <c r="F18" s="14">
        <v>5191</v>
      </c>
      <c r="G18" s="24">
        <f aca="true" t="shared" si="3" ref="G18:G23">F18-F17</f>
        <v>-176</v>
      </c>
      <c r="H18" s="26">
        <f aca="true" t="shared" si="4" ref="H18:H27">G18/F17*100</f>
        <v>-3.2792994223961243</v>
      </c>
      <c r="I18" s="16">
        <f aca="true" t="shared" si="5" ref="I18:I27">F18/$F$17*100</f>
        <v>96.72070057760388</v>
      </c>
    </row>
    <row r="19" spans="1:9" ht="15" customHeight="1">
      <c r="A19" s="52" t="s">
        <v>1</v>
      </c>
      <c r="B19" s="14">
        <v>178981</v>
      </c>
      <c r="C19" s="25">
        <f t="shared" si="0"/>
        <v>-15499</v>
      </c>
      <c r="D19" s="26">
        <f t="shared" si="1"/>
        <v>-7.96945701357466</v>
      </c>
      <c r="E19" s="16">
        <f t="shared" si="2"/>
        <v>87.6301127072256</v>
      </c>
      <c r="F19" s="14">
        <v>4917</v>
      </c>
      <c r="G19" s="24">
        <f t="shared" si="3"/>
        <v>-274</v>
      </c>
      <c r="H19" s="26">
        <f t="shared" si="4"/>
        <v>-5.278366403390484</v>
      </c>
      <c r="I19" s="16">
        <f t="shared" si="5"/>
        <v>91.61542761319173</v>
      </c>
    </row>
    <row r="20" spans="1:9" ht="15" customHeight="1">
      <c r="A20" s="52" t="s">
        <v>2</v>
      </c>
      <c r="B20" s="14">
        <v>167452</v>
      </c>
      <c r="C20" s="25">
        <f t="shared" si="0"/>
        <v>-11529</v>
      </c>
      <c r="D20" s="26">
        <f t="shared" si="1"/>
        <v>-6.441465853917455</v>
      </c>
      <c r="E20" s="16">
        <f t="shared" si="2"/>
        <v>81.98544891944029</v>
      </c>
      <c r="F20" s="14">
        <v>4709</v>
      </c>
      <c r="G20" s="24">
        <f t="shared" si="3"/>
        <v>-208</v>
      </c>
      <c r="H20" s="26">
        <f t="shared" si="4"/>
        <v>-4.230221679886109</v>
      </c>
      <c r="I20" s="16">
        <f t="shared" si="5"/>
        <v>87.73989193217812</v>
      </c>
    </row>
    <row r="21" spans="1:9" ht="15" customHeight="1">
      <c r="A21" s="52" t="s">
        <v>3</v>
      </c>
      <c r="B21" s="14">
        <v>155522</v>
      </c>
      <c r="C21" s="25">
        <f t="shared" si="0"/>
        <v>-11930</v>
      </c>
      <c r="D21" s="26">
        <f t="shared" si="1"/>
        <v>-7.12442968731338</v>
      </c>
      <c r="E21" s="16">
        <f t="shared" si="2"/>
        <v>76.14445325734653</v>
      </c>
      <c r="F21" s="14">
        <v>4387</v>
      </c>
      <c r="G21" s="24">
        <f t="shared" si="3"/>
        <v>-322</v>
      </c>
      <c r="H21" s="26">
        <f t="shared" si="4"/>
        <v>-6.837969844977702</v>
      </c>
      <c r="I21" s="16">
        <f t="shared" si="5"/>
        <v>81.74026457983976</v>
      </c>
    </row>
    <row r="22" spans="1:9" ht="15" customHeight="1">
      <c r="A22" s="52" t="s">
        <v>33</v>
      </c>
      <c r="B22" s="14">
        <v>142612</v>
      </c>
      <c r="C22" s="25">
        <f t="shared" si="0"/>
        <v>-12910</v>
      </c>
      <c r="D22" s="26">
        <f t="shared" si="1"/>
        <v>-8.301076375046618</v>
      </c>
      <c r="E22" s="16">
        <f t="shared" si="2"/>
        <v>69.82364403709252</v>
      </c>
      <c r="F22" s="14">
        <v>4060</v>
      </c>
      <c r="G22" s="24">
        <f t="shared" si="3"/>
        <v>-327</v>
      </c>
      <c r="H22" s="26">
        <f t="shared" si="4"/>
        <v>-7.453840893549122</v>
      </c>
      <c r="I22" s="16">
        <f t="shared" si="5"/>
        <v>75.64747531209241</v>
      </c>
    </row>
    <row r="23" spans="1:9" ht="15" customHeight="1">
      <c r="A23" s="52" t="s">
        <v>4</v>
      </c>
      <c r="B23" s="14">
        <v>128901</v>
      </c>
      <c r="C23" s="25">
        <f t="shared" si="0"/>
        <v>-13711</v>
      </c>
      <c r="D23" s="26">
        <f t="shared" si="1"/>
        <v>-9.614197963705719</v>
      </c>
      <c r="E23" s="16">
        <f t="shared" si="2"/>
        <v>63.11066067389325</v>
      </c>
      <c r="F23" s="14">
        <v>3612</v>
      </c>
      <c r="G23" s="24">
        <f t="shared" si="3"/>
        <v>-448</v>
      </c>
      <c r="H23" s="26">
        <f t="shared" si="4"/>
        <v>-11.03448275862069</v>
      </c>
      <c r="I23" s="16">
        <f t="shared" si="5"/>
        <v>67.30016769144773</v>
      </c>
    </row>
    <row r="24" spans="1:9" ht="15" customHeight="1">
      <c r="A24" s="52" t="s">
        <v>5</v>
      </c>
      <c r="B24" s="14">
        <v>116265</v>
      </c>
      <c r="C24" s="25">
        <f t="shared" si="0"/>
        <v>-12636</v>
      </c>
      <c r="D24" s="40">
        <f t="shared" si="1"/>
        <v>-9.802871971513023</v>
      </c>
      <c r="E24" s="16">
        <f t="shared" si="2"/>
        <v>56.924003407655476</v>
      </c>
      <c r="F24" s="14">
        <v>3223</v>
      </c>
      <c r="G24" s="24">
        <f>F24-F23</f>
        <v>-389</v>
      </c>
      <c r="H24" s="40">
        <f t="shared" si="4"/>
        <v>-10.769656699889259</v>
      </c>
      <c r="I24" s="16">
        <f t="shared" si="5"/>
        <v>60.052170672629025</v>
      </c>
    </row>
    <row r="25" spans="1:9" ht="15" customHeight="1">
      <c r="A25" s="52" t="s">
        <v>6</v>
      </c>
      <c r="B25" s="14">
        <v>106528</v>
      </c>
      <c r="C25" s="41">
        <f t="shared" si="0"/>
        <v>-9737</v>
      </c>
      <c r="D25" s="26">
        <f t="shared" si="1"/>
        <v>-8.374833354835935</v>
      </c>
      <c r="E25" s="16">
        <f t="shared" si="2"/>
        <v>52.15671298336319</v>
      </c>
      <c r="F25" s="14">
        <v>3668</v>
      </c>
      <c r="G25" s="24">
        <f>F25-F24</f>
        <v>445</v>
      </c>
      <c r="H25" s="26">
        <f t="shared" si="4"/>
        <v>13.807012100527457</v>
      </c>
      <c r="I25" s="16">
        <f t="shared" si="5"/>
        <v>68.34358114402832</v>
      </c>
    </row>
    <row r="26" spans="1:9" ht="15" customHeight="1">
      <c r="A26" s="52" t="s">
        <v>45</v>
      </c>
      <c r="B26" s="14">
        <v>92287</v>
      </c>
      <c r="C26" s="41">
        <f t="shared" si="0"/>
        <v>-14241</v>
      </c>
      <c r="D26" s="40">
        <f t="shared" si="1"/>
        <v>-13.368316311204568</v>
      </c>
      <c r="E26" s="16">
        <f t="shared" si="2"/>
        <v>45.18423861422011</v>
      </c>
      <c r="F26" s="14">
        <v>4105</v>
      </c>
      <c r="G26" s="24">
        <f>F26-F25</f>
        <v>437</v>
      </c>
      <c r="H26" s="40">
        <f t="shared" si="4"/>
        <v>11.913849509269356</v>
      </c>
      <c r="I26" s="16">
        <f t="shared" si="5"/>
        <v>76.48593255077324</v>
      </c>
    </row>
    <row r="27" spans="1:9" ht="15" customHeight="1" thickBot="1">
      <c r="A27" s="53" t="s">
        <v>46</v>
      </c>
      <c r="B27" s="38">
        <v>78453</v>
      </c>
      <c r="C27" s="39">
        <f t="shared" si="0"/>
        <v>-13834</v>
      </c>
      <c r="D27" s="54">
        <f t="shared" si="1"/>
        <v>-14.990193635073195</v>
      </c>
      <c r="E27" s="57">
        <f t="shared" si="2"/>
        <v>38.411033753415</v>
      </c>
      <c r="F27" s="38">
        <v>3428</v>
      </c>
      <c r="G27" s="55">
        <f>F27-F26</f>
        <v>-677</v>
      </c>
      <c r="H27" s="54">
        <f t="shared" si="4"/>
        <v>-16.49208282582217</v>
      </c>
      <c r="I27" s="57">
        <f t="shared" si="5"/>
        <v>63.871809204397245</v>
      </c>
    </row>
    <row r="28" spans="1:8" ht="13.5">
      <c r="A28" s="33" t="s">
        <v>39</v>
      </c>
      <c r="D28" s="27"/>
      <c r="G28" s="27"/>
      <c r="H28" s="27"/>
    </row>
    <row r="29" ht="13.5">
      <c r="A29" s="34" t="s">
        <v>42</v>
      </c>
    </row>
    <row r="30" ht="13.5">
      <c r="A30" s="34" t="s">
        <v>50</v>
      </c>
    </row>
    <row r="31" ht="13.5">
      <c r="A31" s="34"/>
    </row>
    <row r="32" spans="1:5" ht="6.75" customHeight="1">
      <c r="A32" s="42"/>
      <c r="E32" s="27"/>
    </row>
    <row r="33" ht="15.75" customHeight="1">
      <c r="A33" t="s">
        <v>32</v>
      </c>
    </row>
    <row r="34" ht="6" customHeight="1" thickBot="1"/>
    <row r="35" spans="1:9" ht="9.75" customHeight="1">
      <c r="A35" s="126" t="s">
        <v>13</v>
      </c>
      <c r="B35" s="102" t="s">
        <v>10</v>
      </c>
      <c r="C35" s="103"/>
      <c r="D35" s="143"/>
      <c r="E35" s="144"/>
      <c r="F35" s="115" t="s">
        <v>37</v>
      </c>
      <c r="G35" s="115"/>
      <c r="H35" s="115" t="s">
        <v>35</v>
      </c>
      <c r="I35" s="117"/>
    </row>
    <row r="36" spans="1:9" ht="24.75" customHeight="1">
      <c r="A36" s="140"/>
      <c r="B36" s="104"/>
      <c r="C36" s="105"/>
      <c r="D36" s="8" t="s">
        <v>15</v>
      </c>
      <c r="E36" s="32" t="s">
        <v>16</v>
      </c>
      <c r="F36" s="116"/>
      <c r="G36" s="116"/>
      <c r="H36" s="118"/>
      <c r="I36" s="119"/>
    </row>
    <row r="37" spans="1:9" ht="9.75" customHeight="1">
      <c r="A37" s="4"/>
      <c r="B37" s="86" t="s">
        <v>8</v>
      </c>
      <c r="C37" s="87"/>
      <c r="D37" s="7" t="s">
        <v>8</v>
      </c>
      <c r="E37" s="7" t="s">
        <v>8</v>
      </c>
      <c r="F37" s="95" t="s">
        <v>8</v>
      </c>
      <c r="G37" s="108"/>
      <c r="H37" s="95" t="s">
        <v>36</v>
      </c>
      <c r="I37" s="96"/>
    </row>
    <row r="38" spans="1:9" ht="13.5" customHeight="1">
      <c r="A38" s="5" t="s">
        <v>33</v>
      </c>
      <c r="B38" s="132">
        <v>4060</v>
      </c>
      <c r="C38" s="133"/>
      <c r="D38" s="12">
        <v>357</v>
      </c>
      <c r="E38" s="12">
        <v>3703</v>
      </c>
      <c r="F38" s="120">
        <v>-333</v>
      </c>
      <c r="G38" s="120"/>
      <c r="H38" s="110">
        <v>-8.3</v>
      </c>
      <c r="I38" s="111"/>
    </row>
    <row r="39" spans="1:9" ht="15" customHeight="1">
      <c r="A39" s="6" t="s">
        <v>4</v>
      </c>
      <c r="B39" s="93">
        <v>3612</v>
      </c>
      <c r="C39" s="94"/>
      <c r="D39" s="15">
        <v>300</v>
      </c>
      <c r="E39" s="15">
        <v>3312</v>
      </c>
      <c r="F39" s="112">
        <f>E39-E38</f>
        <v>-391</v>
      </c>
      <c r="G39" s="112"/>
      <c r="H39" s="91">
        <f>F39/E38*100</f>
        <v>-10.559006211180124</v>
      </c>
      <c r="I39" s="92"/>
    </row>
    <row r="40" spans="1:9" ht="15" customHeight="1">
      <c r="A40" s="6" t="s">
        <v>5</v>
      </c>
      <c r="B40" s="93">
        <v>3223</v>
      </c>
      <c r="C40" s="94"/>
      <c r="D40" s="15">
        <v>311</v>
      </c>
      <c r="E40" s="15">
        <v>2912</v>
      </c>
      <c r="F40" s="112">
        <f>E40-E39</f>
        <v>-400</v>
      </c>
      <c r="G40" s="112"/>
      <c r="H40" s="91">
        <f>F40/E39*100</f>
        <v>-12.077294685990339</v>
      </c>
      <c r="I40" s="92"/>
    </row>
    <row r="41" spans="1:9" ht="15" customHeight="1">
      <c r="A41" s="6" t="s">
        <v>6</v>
      </c>
      <c r="B41" s="93">
        <f>D41+E41</f>
        <v>3668</v>
      </c>
      <c r="C41" s="94"/>
      <c r="D41" s="15">
        <v>532</v>
      </c>
      <c r="E41" s="15">
        <v>3136</v>
      </c>
      <c r="F41" s="112">
        <f>E41-E40</f>
        <v>224</v>
      </c>
      <c r="G41" s="112"/>
      <c r="H41" s="91">
        <f>F41/E40*100</f>
        <v>7.6923076923076925</v>
      </c>
      <c r="I41" s="92"/>
    </row>
    <row r="42" spans="1:9" ht="15" customHeight="1">
      <c r="A42" s="6" t="s">
        <v>38</v>
      </c>
      <c r="B42" s="93">
        <v>4105</v>
      </c>
      <c r="C42" s="94"/>
      <c r="D42" s="15">
        <v>926</v>
      </c>
      <c r="E42" s="15">
        <v>3179</v>
      </c>
      <c r="F42" s="112">
        <f>E42-E41</f>
        <v>43</v>
      </c>
      <c r="G42" s="112"/>
      <c r="H42" s="91">
        <f>F42/E41*100</f>
        <v>1.371173469387755</v>
      </c>
      <c r="I42" s="92"/>
    </row>
    <row r="43" spans="1:9" ht="15" customHeight="1" thickBot="1">
      <c r="A43" s="43" t="s">
        <v>46</v>
      </c>
      <c r="B43" s="100">
        <v>3428</v>
      </c>
      <c r="C43" s="101"/>
      <c r="D43" s="44">
        <v>907</v>
      </c>
      <c r="E43" s="44">
        <v>2521</v>
      </c>
      <c r="F43" s="121">
        <f>E43-E42</f>
        <v>-658</v>
      </c>
      <c r="G43" s="121"/>
      <c r="H43" s="113">
        <f>F43/E42*100</f>
        <v>-20.69833280905945</v>
      </c>
      <c r="I43" s="114"/>
    </row>
    <row r="44" ht="13.5">
      <c r="A44" s="33" t="s">
        <v>40</v>
      </c>
    </row>
    <row r="45" ht="13.5">
      <c r="A45" s="34" t="s">
        <v>43</v>
      </c>
    </row>
    <row r="46" ht="13.5">
      <c r="A46" s="34" t="s">
        <v>50</v>
      </c>
    </row>
    <row r="47" ht="13.5">
      <c r="A47" s="34"/>
    </row>
    <row r="48" spans="1:5" ht="7.5" customHeight="1">
      <c r="A48" s="42"/>
      <c r="E48" s="27"/>
    </row>
    <row r="49" ht="15.75" customHeight="1">
      <c r="A49" t="s">
        <v>17</v>
      </c>
    </row>
    <row r="50" ht="6" customHeight="1" thickBot="1"/>
    <row r="51" spans="1:9" ht="8.25" customHeight="1">
      <c r="A51" s="126" t="s">
        <v>13</v>
      </c>
      <c r="B51" s="102" t="s">
        <v>10</v>
      </c>
      <c r="C51" s="103"/>
      <c r="D51" s="141"/>
      <c r="E51" s="142"/>
      <c r="F51" s="115" t="s">
        <v>37</v>
      </c>
      <c r="G51" s="115"/>
      <c r="H51" s="115" t="s">
        <v>35</v>
      </c>
      <c r="I51" s="117"/>
    </row>
    <row r="52" spans="1:9" ht="18" customHeight="1">
      <c r="A52" s="140"/>
      <c r="B52" s="104"/>
      <c r="C52" s="105"/>
      <c r="D52" s="36" t="s">
        <v>15</v>
      </c>
      <c r="E52" s="32" t="s">
        <v>16</v>
      </c>
      <c r="F52" s="116"/>
      <c r="G52" s="116"/>
      <c r="H52" s="118"/>
      <c r="I52" s="119"/>
    </row>
    <row r="53" spans="1:9" ht="10.5" customHeight="1">
      <c r="A53" s="4"/>
      <c r="B53" s="86" t="s">
        <v>8</v>
      </c>
      <c r="C53" s="87"/>
      <c r="D53" s="7" t="s">
        <v>8</v>
      </c>
      <c r="E53" s="7" t="s">
        <v>8</v>
      </c>
      <c r="F53" s="95" t="s">
        <v>8</v>
      </c>
      <c r="G53" s="108" t="s">
        <v>9</v>
      </c>
      <c r="H53" s="95" t="s">
        <v>36</v>
      </c>
      <c r="I53" s="96"/>
    </row>
    <row r="54" spans="1:9" ht="13.5">
      <c r="A54" s="5" t="s">
        <v>33</v>
      </c>
      <c r="B54" s="88">
        <v>6613</v>
      </c>
      <c r="C54" s="89"/>
      <c r="D54" s="22">
        <v>642</v>
      </c>
      <c r="E54" s="22">
        <v>5971</v>
      </c>
      <c r="F54" s="109">
        <v>-506</v>
      </c>
      <c r="G54" s="109">
        <f>F54/6477*100</f>
        <v>-7.8122587617724255</v>
      </c>
      <c r="H54" s="110">
        <v>-7.8</v>
      </c>
      <c r="I54" s="111"/>
    </row>
    <row r="55" spans="1:9" ht="15" customHeight="1">
      <c r="A55" s="6" t="s">
        <v>4</v>
      </c>
      <c r="B55" s="93">
        <v>5945</v>
      </c>
      <c r="C55" s="94"/>
      <c r="D55" s="15">
        <v>546</v>
      </c>
      <c r="E55" s="15">
        <v>5399</v>
      </c>
      <c r="F55" s="90">
        <f>E55-E54</f>
        <v>-572</v>
      </c>
      <c r="G55" s="90">
        <f>F55/E54*100</f>
        <v>-9.579634902026461</v>
      </c>
      <c r="H55" s="91">
        <f>F55/E54*100</f>
        <v>-9.579634902026461</v>
      </c>
      <c r="I55" s="92"/>
    </row>
    <row r="56" spans="1:9" ht="15" customHeight="1">
      <c r="A56" s="6" t="s">
        <v>5</v>
      </c>
      <c r="B56" s="93">
        <v>5220</v>
      </c>
      <c r="C56" s="94"/>
      <c r="D56" s="15">
        <v>542</v>
      </c>
      <c r="E56" s="15">
        <v>4678</v>
      </c>
      <c r="F56" s="90">
        <f>E56-E55</f>
        <v>-721</v>
      </c>
      <c r="G56" s="90">
        <f>F56/E55*100</f>
        <v>-13.354324874976847</v>
      </c>
      <c r="H56" s="91">
        <f>F56/E55*100</f>
        <v>-13.354324874976847</v>
      </c>
      <c r="I56" s="92"/>
    </row>
    <row r="57" spans="1:9" ht="15" customHeight="1">
      <c r="A57" s="6" t="s">
        <v>6</v>
      </c>
      <c r="B57" s="93">
        <f>D57+E57</f>
        <v>4847</v>
      </c>
      <c r="C57" s="94"/>
      <c r="D57" s="15">
        <v>806</v>
      </c>
      <c r="E57" s="15">
        <v>4041</v>
      </c>
      <c r="F57" s="90">
        <f>E57-E56</f>
        <v>-637</v>
      </c>
      <c r="G57" s="90">
        <f>F57/E54*100</f>
        <v>-10.668229777256741</v>
      </c>
      <c r="H57" s="91">
        <f>F57/E56*100</f>
        <v>-13.616930312099187</v>
      </c>
      <c r="I57" s="92"/>
    </row>
    <row r="58" spans="1:9" ht="15" customHeight="1">
      <c r="A58" s="6" t="s">
        <v>38</v>
      </c>
      <c r="B58" s="93">
        <v>4105</v>
      </c>
      <c r="C58" s="94"/>
      <c r="D58" s="15">
        <v>926</v>
      </c>
      <c r="E58" s="15">
        <v>3179</v>
      </c>
      <c r="F58" s="90">
        <f>E58-E57</f>
        <v>-862</v>
      </c>
      <c r="G58" s="90">
        <f>F58/E55*100</f>
        <v>-15.96591961474347</v>
      </c>
      <c r="H58" s="91">
        <f>F58/E57*100</f>
        <v>-21.331353625340263</v>
      </c>
      <c r="I58" s="92"/>
    </row>
    <row r="59" spans="1:9" s="60" customFormat="1" ht="15" customHeight="1" thickBot="1">
      <c r="A59" s="58" t="s">
        <v>46</v>
      </c>
      <c r="B59" s="98">
        <v>3428</v>
      </c>
      <c r="C59" s="99"/>
      <c r="D59" s="59">
        <v>907</v>
      </c>
      <c r="E59" s="59">
        <v>2521</v>
      </c>
      <c r="F59" s="122">
        <f>E59-E58</f>
        <v>-658</v>
      </c>
      <c r="G59" s="122">
        <f>F59/E56*100</f>
        <v>-14.065840102607952</v>
      </c>
      <c r="H59" s="106">
        <f>F59/E58*100</f>
        <v>-20.69833280905945</v>
      </c>
      <c r="I59" s="107"/>
    </row>
    <row r="60" ht="13.5">
      <c r="A60" s="9" t="s">
        <v>41</v>
      </c>
    </row>
    <row r="61" ht="13.5">
      <c r="A61" s="10"/>
    </row>
    <row r="62" ht="8.25" customHeight="1"/>
  </sheetData>
  <sheetProtection/>
  <mergeCells count="67">
    <mergeCell ref="I5:I6"/>
    <mergeCell ref="A5:A6"/>
    <mergeCell ref="B5:B6"/>
    <mergeCell ref="C5:G5"/>
    <mergeCell ref="H5:H6"/>
    <mergeCell ref="A51:A52"/>
    <mergeCell ref="D51:E51"/>
    <mergeCell ref="D35:E35"/>
    <mergeCell ref="A35:A36"/>
    <mergeCell ref="A13:A15"/>
    <mergeCell ref="E14:E15"/>
    <mergeCell ref="B39:C39"/>
    <mergeCell ref="B42:C42"/>
    <mergeCell ref="H38:I38"/>
    <mergeCell ref="H39:I39"/>
    <mergeCell ref="B37:C37"/>
    <mergeCell ref="B38:C38"/>
    <mergeCell ref="H40:I40"/>
    <mergeCell ref="H35:I36"/>
    <mergeCell ref="H37:I37"/>
    <mergeCell ref="F59:G59"/>
    <mergeCell ref="B13:E13"/>
    <mergeCell ref="F13:I13"/>
    <mergeCell ref="F14:F15"/>
    <mergeCell ref="G14:H14"/>
    <mergeCell ref="I14:I15"/>
    <mergeCell ref="B35:C36"/>
    <mergeCell ref="B14:B15"/>
    <mergeCell ref="C14:D14"/>
    <mergeCell ref="F35:G36"/>
    <mergeCell ref="H57:I57"/>
    <mergeCell ref="F56:G56"/>
    <mergeCell ref="H56:I56"/>
    <mergeCell ref="H55:I55"/>
    <mergeCell ref="F37:G37"/>
    <mergeCell ref="F38:G38"/>
    <mergeCell ref="F39:G39"/>
    <mergeCell ref="F40:G40"/>
    <mergeCell ref="F43:G43"/>
    <mergeCell ref="H54:I54"/>
    <mergeCell ref="F41:G41"/>
    <mergeCell ref="H41:I41"/>
    <mergeCell ref="F42:G42"/>
    <mergeCell ref="H42:I42"/>
    <mergeCell ref="H43:I43"/>
    <mergeCell ref="F51:G52"/>
    <mergeCell ref="H51:I52"/>
    <mergeCell ref="H3:I3"/>
    <mergeCell ref="B59:C59"/>
    <mergeCell ref="B40:C40"/>
    <mergeCell ref="B41:C41"/>
    <mergeCell ref="B43:C43"/>
    <mergeCell ref="B51:C52"/>
    <mergeCell ref="B58:C58"/>
    <mergeCell ref="F55:G55"/>
    <mergeCell ref="H59:I59"/>
    <mergeCell ref="F53:G53"/>
    <mergeCell ref="B53:C53"/>
    <mergeCell ref="B54:C54"/>
    <mergeCell ref="F58:G58"/>
    <mergeCell ref="H58:I58"/>
    <mergeCell ref="B57:C57"/>
    <mergeCell ref="B55:C55"/>
    <mergeCell ref="B56:C56"/>
    <mergeCell ref="H53:I53"/>
    <mergeCell ref="F57:G57"/>
    <mergeCell ref="F54:G54"/>
  </mergeCells>
  <printOptions/>
  <pageMargins left="0.7874015748031497" right="0.7874015748031497" top="0.984251968503937" bottom="0.7874015748031497" header="0.5118110236220472" footer="0.5118110236220472"/>
  <pageSetup fitToWidth="0" fitToHeight="1" horizontalDpi="600" verticalDpi="600" orientation="portrait" paperSize="9" scale="96" r:id="rId1"/>
  <headerFooter alignWithMargins="0">
    <oddFooter xml:space="preserve">&amp;C- 35 -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3"/>
  <sheetViews>
    <sheetView zoomScaleSheetLayoutView="100" workbookViewId="0" topLeftCell="A4">
      <selection activeCell="N20" sqref="N20"/>
    </sheetView>
  </sheetViews>
  <sheetFormatPr defaultColWidth="9.00390625" defaultRowHeight="13.5"/>
  <cols>
    <col min="1" max="1" width="7.375" style="0" customWidth="1"/>
    <col min="2" max="3" width="2.75390625" style="0" customWidth="1"/>
    <col min="4" max="4" width="2.00390625" style="0" customWidth="1"/>
    <col min="5" max="6" width="1.25" style="0" customWidth="1"/>
    <col min="7" max="12" width="2.75390625" style="0" customWidth="1"/>
    <col min="13" max="13" width="1.25" style="0" customWidth="1"/>
    <col min="14" max="14" width="1.37890625" style="0" customWidth="1"/>
    <col min="15" max="20" width="2.75390625" style="0" customWidth="1"/>
    <col min="21" max="22" width="1.4921875" style="0" customWidth="1"/>
    <col min="23" max="28" width="2.75390625" style="0" customWidth="1"/>
    <col min="29" max="30" width="1.4921875" style="0" customWidth="1"/>
    <col min="31" max="33" width="2.75390625" style="0" customWidth="1"/>
  </cols>
  <sheetData>
    <row r="1" ht="14.25" customHeight="1">
      <c r="A1" s="17" t="s">
        <v>277</v>
      </c>
    </row>
    <row r="2" ht="6.75" customHeight="1" thickBot="1"/>
    <row r="3" spans="1:33" ht="18" customHeight="1">
      <c r="A3" s="721"/>
      <c r="B3" s="136" t="s">
        <v>19</v>
      </c>
      <c r="C3" s="136"/>
      <c r="D3" s="136"/>
      <c r="E3" s="136"/>
      <c r="F3" s="136"/>
      <c r="G3" s="136"/>
      <c r="H3" s="136"/>
      <c r="I3" s="136"/>
      <c r="J3" s="136" t="s">
        <v>241</v>
      </c>
      <c r="K3" s="136"/>
      <c r="L3" s="136"/>
      <c r="M3" s="136"/>
      <c r="N3" s="136"/>
      <c r="O3" s="136"/>
      <c r="P3" s="136"/>
      <c r="Q3" s="136"/>
      <c r="R3" s="136" t="s">
        <v>242</v>
      </c>
      <c r="S3" s="136"/>
      <c r="T3" s="136"/>
      <c r="U3" s="136"/>
      <c r="V3" s="136"/>
      <c r="W3" s="136"/>
      <c r="X3" s="136"/>
      <c r="Y3" s="136"/>
      <c r="Z3" s="136" t="s">
        <v>266</v>
      </c>
      <c r="AA3" s="136"/>
      <c r="AB3" s="136"/>
      <c r="AC3" s="136"/>
      <c r="AD3" s="136"/>
      <c r="AE3" s="136"/>
      <c r="AF3" s="136"/>
      <c r="AG3" s="117"/>
    </row>
    <row r="4" spans="1:33" ht="17.25" customHeight="1">
      <c r="A4" s="722"/>
      <c r="B4" s="118" t="s">
        <v>259</v>
      </c>
      <c r="C4" s="118"/>
      <c r="D4" s="118"/>
      <c r="E4" s="118"/>
      <c r="F4" s="118" t="s">
        <v>268</v>
      </c>
      <c r="G4" s="118"/>
      <c r="H4" s="118"/>
      <c r="I4" s="118"/>
      <c r="J4" s="118" t="s">
        <v>259</v>
      </c>
      <c r="K4" s="118"/>
      <c r="L4" s="118"/>
      <c r="M4" s="118"/>
      <c r="N4" s="118" t="s">
        <v>268</v>
      </c>
      <c r="O4" s="118"/>
      <c r="P4" s="118"/>
      <c r="Q4" s="118"/>
      <c r="R4" s="118" t="s">
        <v>259</v>
      </c>
      <c r="S4" s="118"/>
      <c r="T4" s="118"/>
      <c r="U4" s="118"/>
      <c r="V4" s="118" t="s">
        <v>268</v>
      </c>
      <c r="W4" s="118"/>
      <c r="X4" s="118"/>
      <c r="Y4" s="118"/>
      <c r="Z4" s="118" t="s">
        <v>259</v>
      </c>
      <c r="AA4" s="118"/>
      <c r="AB4" s="118"/>
      <c r="AC4" s="118"/>
      <c r="AD4" s="118" t="s">
        <v>268</v>
      </c>
      <c r="AE4" s="118"/>
      <c r="AF4" s="118"/>
      <c r="AG4" s="119"/>
    </row>
    <row r="5" spans="1:33" ht="13.5" customHeight="1">
      <c r="A5" s="674" t="s">
        <v>261</v>
      </c>
      <c r="B5" s="675" t="s">
        <v>278</v>
      </c>
      <c r="C5" s="675"/>
      <c r="D5" s="675"/>
      <c r="E5" s="675"/>
      <c r="F5" s="676" t="s">
        <v>262</v>
      </c>
      <c r="G5" s="676"/>
      <c r="H5" s="676"/>
      <c r="I5" s="676"/>
      <c r="J5" s="675" t="s">
        <v>278</v>
      </c>
      <c r="K5" s="675"/>
      <c r="L5" s="675"/>
      <c r="M5" s="675"/>
      <c r="N5" s="676" t="s">
        <v>262</v>
      </c>
      <c r="O5" s="676"/>
      <c r="P5" s="676"/>
      <c r="Q5" s="676"/>
      <c r="R5" s="675" t="s">
        <v>278</v>
      </c>
      <c r="S5" s="675"/>
      <c r="T5" s="675"/>
      <c r="U5" s="675"/>
      <c r="V5" s="676" t="s">
        <v>262</v>
      </c>
      <c r="W5" s="676"/>
      <c r="X5" s="676"/>
      <c r="Y5" s="676"/>
      <c r="Z5" s="675" t="s">
        <v>278</v>
      </c>
      <c r="AA5" s="675"/>
      <c r="AB5" s="675"/>
      <c r="AC5" s="675"/>
      <c r="AD5" s="676" t="s">
        <v>262</v>
      </c>
      <c r="AE5" s="676"/>
      <c r="AF5" s="676"/>
      <c r="AG5" s="677"/>
    </row>
    <row r="6" spans="1:33" ht="22.5" customHeight="1">
      <c r="A6" s="678" t="s">
        <v>19</v>
      </c>
      <c r="B6" s="268">
        <f>SUM(B7:B18)</f>
        <v>745</v>
      </c>
      <c r="C6" s="268"/>
      <c r="D6" s="268"/>
      <c r="E6" s="268"/>
      <c r="F6" s="697">
        <f>SUM(F7:F18)</f>
        <v>18963</v>
      </c>
      <c r="G6" s="697"/>
      <c r="H6" s="697"/>
      <c r="I6" s="697"/>
      <c r="J6" s="268">
        <f>SUM(J7:J18)</f>
        <v>457</v>
      </c>
      <c r="K6" s="268"/>
      <c r="L6" s="268"/>
      <c r="M6" s="268"/>
      <c r="N6" s="697">
        <f>SUM(N7:N18)</f>
        <v>10765</v>
      </c>
      <c r="O6" s="697"/>
      <c r="P6" s="697"/>
      <c r="Q6" s="697"/>
      <c r="R6" s="268">
        <f>SUM(R7:R18)</f>
        <v>421</v>
      </c>
      <c r="S6" s="268"/>
      <c r="T6" s="268"/>
      <c r="U6" s="268"/>
      <c r="V6" s="697">
        <f>SUM(V7:V18)</f>
        <v>8068</v>
      </c>
      <c r="W6" s="697"/>
      <c r="X6" s="697"/>
      <c r="Y6" s="697"/>
      <c r="Z6" s="268">
        <f>SUM(Z7:Z18)</f>
        <v>5</v>
      </c>
      <c r="AA6" s="268"/>
      <c r="AB6" s="268"/>
      <c r="AC6" s="268"/>
      <c r="AD6" s="268">
        <f>SUM(AD7:AD18)</f>
        <v>130</v>
      </c>
      <c r="AE6" s="268"/>
      <c r="AF6" s="268"/>
      <c r="AG6" s="269"/>
    </row>
    <row r="7" spans="1:33" ht="22.5" customHeight="1">
      <c r="A7" s="678" t="s">
        <v>86</v>
      </c>
      <c r="B7" s="268">
        <v>18</v>
      </c>
      <c r="C7" s="268"/>
      <c r="D7" s="268"/>
      <c r="E7" s="268"/>
      <c r="F7" s="268">
        <v>195</v>
      </c>
      <c r="G7" s="268"/>
      <c r="H7" s="268"/>
      <c r="I7" s="268"/>
      <c r="J7" s="268">
        <v>12</v>
      </c>
      <c r="K7" s="268"/>
      <c r="L7" s="268"/>
      <c r="M7" s="268"/>
      <c r="N7" s="268">
        <v>156</v>
      </c>
      <c r="O7" s="268"/>
      <c r="P7" s="268"/>
      <c r="Q7" s="268"/>
      <c r="R7" s="268">
        <v>8</v>
      </c>
      <c r="S7" s="268"/>
      <c r="T7" s="268"/>
      <c r="U7" s="268"/>
      <c r="V7" s="268">
        <v>39</v>
      </c>
      <c r="W7" s="268"/>
      <c r="X7" s="268"/>
      <c r="Y7" s="268"/>
      <c r="Z7" s="713">
        <v>0</v>
      </c>
      <c r="AA7" s="713"/>
      <c r="AB7" s="713"/>
      <c r="AC7" s="713"/>
      <c r="AD7" s="713">
        <v>0</v>
      </c>
      <c r="AE7" s="713"/>
      <c r="AF7" s="713"/>
      <c r="AG7" s="716"/>
    </row>
    <row r="8" spans="1:33" ht="22.5" customHeight="1">
      <c r="A8" s="684" t="s">
        <v>69</v>
      </c>
      <c r="B8" s="268">
        <v>30</v>
      </c>
      <c r="C8" s="268"/>
      <c r="D8" s="268"/>
      <c r="E8" s="268"/>
      <c r="F8" s="268">
        <v>539</v>
      </c>
      <c r="G8" s="268"/>
      <c r="H8" s="268"/>
      <c r="I8" s="268"/>
      <c r="J8" s="268">
        <v>22</v>
      </c>
      <c r="K8" s="268"/>
      <c r="L8" s="268"/>
      <c r="M8" s="268"/>
      <c r="N8" s="268">
        <v>407</v>
      </c>
      <c r="O8" s="268"/>
      <c r="P8" s="268"/>
      <c r="Q8" s="268"/>
      <c r="R8" s="268">
        <v>15</v>
      </c>
      <c r="S8" s="268"/>
      <c r="T8" s="268"/>
      <c r="U8" s="268"/>
      <c r="V8" s="268">
        <v>122</v>
      </c>
      <c r="W8" s="268"/>
      <c r="X8" s="268"/>
      <c r="Y8" s="268"/>
      <c r="Z8" s="268">
        <v>1</v>
      </c>
      <c r="AA8" s="268"/>
      <c r="AB8" s="268"/>
      <c r="AC8" s="268"/>
      <c r="AD8" s="268">
        <v>10</v>
      </c>
      <c r="AE8" s="268"/>
      <c r="AF8" s="268"/>
      <c r="AG8" s="269"/>
    </row>
    <row r="9" spans="1:33" ht="22.5" customHeight="1">
      <c r="A9" s="678" t="s">
        <v>269</v>
      </c>
      <c r="B9" s="268">
        <v>68</v>
      </c>
      <c r="C9" s="268"/>
      <c r="D9" s="268"/>
      <c r="E9" s="268"/>
      <c r="F9" s="697">
        <v>2027</v>
      </c>
      <c r="G9" s="697"/>
      <c r="H9" s="697"/>
      <c r="I9" s="697"/>
      <c r="J9" s="268">
        <v>51</v>
      </c>
      <c r="K9" s="268"/>
      <c r="L9" s="268"/>
      <c r="M9" s="268"/>
      <c r="N9" s="268">
        <v>1251</v>
      </c>
      <c r="O9" s="268"/>
      <c r="P9" s="268"/>
      <c r="Q9" s="268"/>
      <c r="R9" s="268">
        <v>32</v>
      </c>
      <c r="S9" s="268"/>
      <c r="T9" s="268"/>
      <c r="U9" s="268"/>
      <c r="V9" s="268">
        <v>726</v>
      </c>
      <c r="W9" s="268"/>
      <c r="X9" s="268"/>
      <c r="Y9" s="268"/>
      <c r="Z9" s="713">
        <v>2</v>
      </c>
      <c r="AA9" s="713"/>
      <c r="AB9" s="713"/>
      <c r="AC9" s="713"/>
      <c r="AD9" s="713">
        <v>50</v>
      </c>
      <c r="AE9" s="713"/>
      <c r="AF9" s="713"/>
      <c r="AG9" s="716"/>
    </row>
    <row r="10" spans="1:33" ht="22.5" customHeight="1">
      <c r="A10" s="678" t="s">
        <v>270</v>
      </c>
      <c r="B10" s="268">
        <v>19</v>
      </c>
      <c r="C10" s="268"/>
      <c r="D10" s="268"/>
      <c r="E10" s="268"/>
      <c r="F10" s="697">
        <v>701</v>
      </c>
      <c r="G10" s="697"/>
      <c r="H10" s="697"/>
      <c r="I10" s="697"/>
      <c r="J10" s="268">
        <v>17</v>
      </c>
      <c r="K10" s="268"/>
      <c r="L10" s="268"/>
      <c r="M10" s="268"/>
      <c r="N10" s="268">
        <v>642</v>
      </c>
      <c r="O10" s="268"/>
      <c r="P10" s="268"/>
      <c r="Q10" s="268"/>
      <c r="R10" s="268">
        <v>4</v>
      </c>
      <c r="S10" s="268"/>
      <c r="T10" s="268"/>
      <c r="U10" s="268"/>
      <c r="V10" s="268">
        <v>59</v>
      </c>
      <c r="W10" s="268"/>
      <c r="X10" s="268"/>
      <c r="Y10" s="268"/>
      <c r="Z10" s="713">
        <v>0</v>
      </c>
      <c r="AA10" s="713"/>
      <c r="AB10" s="713"/>
      <c r="AC10" s="713"/>
      <c r="AD10" s="713">
        <v>0</v>
      </c>
      <c r="AE10" s="713"/>
      <c r="AF10" s="713"/>
      <c r="AG10" s="716"/>
    </row>
    <row r="11" spans="1:36" ht="22.5" customHeight="1">
      <c r="A11" s="678" t="s">
        <v>271</v>
      </c>
      <c r="B11" s="268">
        <v>20</v>
      </c>
      <c r="C11" s="268"/>
      <c r="D11" s="268"/>
      <c r="E11" s="268"/>
      <c r="F11" s="268">
        <v>694</v>
      </c>
      <c r="G11" s="268"/>
      <c r="H11" s="268"/>
      <c r="I11" s="268"/>
      <c r="J11" s="268">
        <v>20</v>
      </c>
      <c r="K11" s="268"/>
      <c r="L11" s="268"/>
      <c r="M11" s="268"/>
      <c r="N11" s="268">
        <v>586</v>
      </c>
      <c r="O11" s="268"/>
      <c r="P11" s="268"/>
      <c r="Q11" s="268"/>
      <c r="R11" s="268">
        <v>5</v>
      </c>
      <c r="S11" s="268"/>
      <c r="T11" s="268"/>
      <c r="U11" s="268"/>
      <c r="V11" s="268">
        <v>108</v>
      </c>
      <c r="W11" s="268"/>
      <c r="X11" s="268"/>
      <c r="Y11" s="268"/>
      <c r="Z11" s="713">
        <v>0</v>
      </c>
      <c r="AA11" s="713"/>
      <c r="AB11" s="713"/>
      <c r="AC11" s="713"/>
      <c r="AD11" s="713">
        <v>0</v>
      </c>
      <c r="AE11" s="713"/>
      <c r="AF11" s="713"/>
      <c r="AG11" s="716"/>
      <c r="AJ11" s="27"/>
    </row>
    <row r="12" spans="1:33" ht="22.5" customHeight="1">
      <c r="A12" s="678" t="s">
        <v>272</v>
      </c>
      <c r="B12" s="268">
        <v>171</v>
      </c>
      <c r="C12" s="268"/>
      <c r="D12" s="268"/>
      <c r="E12" s="268"/>
      <c r="F12" s="697">
        <v>4046</v>
      </c>
      <c r="G12" s="697"/>
      <c r="H12" s="697"/>
      <c r="I12" s="697"/>
      <c r="J12" s="268">
        <v>91</v>
      </c>
      <c r="K12" s="268"/>
      <c r="L12" s="268"/>
      <c r="M12" s="268"/>
      <c r="N12" s="697">
        <v>1923</v>
      </c>
      <c r="O12" s="697"/>
      <c r="P12" s="697"/>
      <c r="Q12" s="697"/>
      <c r="R12" s="268">
        <v>102</v>
      </c>
      <c r="S12" s="268"/>
      <c r="T12" s="268"/>
      <c r="U12" s="268"/>
      <c r="V12" s="697">
        <v>2063</v>
      </c>
      <c r="W12" s="697"/>
      <c r="X12" s="697"/>
      <c r="Y12" s="697"/>
      <c r="Z12" s="713">
        <v>1</v>
      </c>
      <c r="AA12" s="713"/>
      <c r="AB12" s="713"/>
      <c r="AC12" s="713"/>
      <c r="AD12" s="713">
        <v>60</v>
      </c>
      <c r="AE12" s="713"/>
      <c r="AF12" s="713"/>
      <c r="AG12" s="716"/>
    </row>
    <row r="13" spans="1:33" ht="22.5" customHeight="1">
      <c r="A13" s="678" t="s">
        <v>273</v>
      </c>
      <c r="B13" s="268">
        <v>128</v>
      </c>
      <c r="C13" s="268"/>
      <c r="D13" s="268"/>
      <c r="E13" s="268"/>
      <c r="F13" s="697">
        <v>4722</v>
      </c>
      <c r="G13" s="697"/>
      <c r="H13" s="697"/>
      <c r="I13" s="697"/>
      <c r="J13" s="268">
        <v>86</v>
      </c>
      <c r="K13" s="268"/>
      <c r="L13" s="268"/>
      <c r="M13" s="268"/>
      <c r="N13" s="697">
        <v>2780</v>
      </c>
      <c r="O13" s="697"/>
      <c r="P13" s="697"/>
      <c r="Q13" s="697"/>
      <c r="R13" s="268">
        <v>77</v>
      </c>
      <c r="S13" s="268"/>
      <c r="T13" s="268"/>
      <c r="U13" s="268"/>
      <c r="V13" s="697">
        <v>1932</v>
      </c>
      <c r="W13" s="697"/>
      <c r="X13" s="697"/>
      <c r="Y13" s="697"/>
      <c r="Z13" s="268">
        <v>1</v>
      </c>
      <c r="AA13" s="268"/>
      <c r="AB13" s="268"/>
      <c r="AC13" s="268"/>
      <c r="AD13" s="268">
        <v>10</v>
      </c>
      <c r="AE13" s="268"/>
      <c r="AF13" s="268"/>
      <c r="AG13" s="269"/>
    </row>
    <row r="14" spans="1:33" ht="22.5" customHeight="1">
      <c r="A14" s="678" t="s">
        <v>274</v>
      </c>
      <c r="B14" s="268">
        <v>7</v>
      </c>
      <c r="C14" s="268"/>
      <c r="D14" s="268"/>
      <c r="E14" s="268"/>
      <c r="F14" s="268">
        <v>156</v>
      </c>
      <c r="G14" s="268"/>
      <c r="H14" s="268"/>
      <c r="I14" s="268"/>
      <c r="J14" s="268">
        <v>4</v>
      </c>
      <c r="K14" s="268"/>
      <c r="L14" s="268"/>
      <c r="M14" s="268"/>
      <c r="N14" s="268">
        <v>83</v>
      </c>
      <c r="O14" s="268"/>
      <c r="P14" s="268"/>
      <c r="Q14" s="268"/>
      <c r="R14" s="268">
        <v>4</v>
      </c>
      <c r="S14" s="268"/>
      <c r="T14" s="268"/>
      <c r="U14" s="268"/>
      <c r="V14" s="268">
        <v>73</v>
      </c>
      <c r="W14" s="268"/>
      <c r="X14" s="268"/>
      <c r="Y14" s="268"/>
      <c r="Z14" s="713">
        <v>0</v>
      </c>
      <c r="AA14" s="713"/>
      <c r="AB14" s="713"/>
      <c r="AC14" s="713"/>
      <c r="AD14" s="713">
        <v>0</v>
      </c>
      <c r="AE14" s="713"/>
      <c r="AF14" s="713"/>
      <c r="AG14" s="716"/>
    </row>
    <row r="15" spans="1:33" ht="22.5" customHeight="1">
      <c r="A15" s="678" t="s">
        <v>94</v>
      </c>
      <c r="B15" s="268">
        <v>38</v>
      </c>
      <c r="C15" s="268"/>
      <c r="D15" s="268"/>
      <c r="E15" s="268"/>
      <c r="F15" s="268">
        <v>615</v>
      </c>
      <c r="G15" s="268"/>
      <c r="H15" s="268"/>
      <c r="I15" s="268"/>
      <c r="J15" s="268">
        <v>25</v>
      </c>
      <c r="K15" s="268"/>
      <c r="L15" s="268"/>
      <c r="M15" s="268"/>
      <c r="N15" s="268">
        <v>377</v>
      </c>
      <c r="O15" s="268"/>
      <c r="P15" s="268"/>
      <c r="Q15" s="268"/>
      <c r="R15" s="268">
        <v>19</v>
      </c>
      <c r="S15" s="268"/>
      <c r="T15" s="268"/>
      <c r="U15" s="268"/>
      <c r="V15" s="268">
        <v>238</v>
      </c>
      <c r="W15" s="268"/>
      <c r="X15" s="268"/>
      <c r="Y15" s="268"/>
      <c r="Z15" s="713">
        <v>0</v>
      </c>
      <c r="AA15" s="713"/>
      <c r="AB15" s="713"/>
      <c r="AC15" s="713"/>
      <c r="AD15" s="713">
        <v>0</v>
      </c>
      <c r="AE15" s="713"/>
      <c r="AF15" s="713"/>
      <c r="AG15" s="716"/>
    </row>
    <row r="16" spans="1:33" ht="22.5" customHeight="1">
      <c r="A16" s="678" t="s">
        <v>275</v>
      </c>
      <c r="B16" s="275">
        <v>112</v>
      </c>
      <c r="C16" s="275"/>
      <c r="D16" s="275"/>
      <c r="E16" s="275"/>
      <c r="F16" s="697">
        <v>2182</v>
      </c>
      <c r="G16" s="697"/>
      <c r="H16" s="697"/>
      <c r="I16" s="697"/>
      <c r="J16" s="268">
        <v>70</v>
      </c>
      <c r="K16" s="268"/>
      <c r="L16" s="268"/>
      <c r="M16" s="268"/>
      <c r="N16" s="697">
        <v>1257</v>
      </c>
      <c r="O16" s="697"/>
      <c r="P16" s="697"/>
      <c r="Q16" s="697"/>
      <c r="R16" s="268">
        <v>64</v>
      </c>
      <c r="S16" s="268"/>
      <c r="T16" s="268"/>
      <c r="U16" s="268"/>
      <c r="V16" s="268">
        <v>925</v>
      </c>
      <c r="W16" s="268"/>
      <c r="X16" s="268"/>
      <c r="Y16" s="268"/>
      <c r="Z16" s="268">
        <v>0</v>
      </c>
      <c r="AA16" s="268"/>
      <c r="AB16" s="268"/>
      <c r="AC16" s="268"/>
      <c r="AD16" s="268">
        <v>0</v>
      </c>
      <c r="AE16" s="268"/>
      <c r="AF16" s="268"/>
      <c r="AG16" s="269"/>
    </row>
    <row r="17" spans="1:33" ht="22.5" customHeight="1">
      <c r="A17" s="678" t="s">
        <v>96</v>
      </c>
      <c r="B17" s="268">
        <v>74</v>
      </c>
      <c r="C17" s="268"/>
      <c r="D17" s="268"/>
      <c r="E17" s="268"/>
      <c r="F17" s="697">
        <v>1950</v>
      </c>
      <c r="G17" s="697"/>
      <c r="H17" s="697"/>
      <c r="I17" s="697"/>
      <c r="J17" s="268">
        <v>25</v>
      </c>
      <c r="K17" s="268"/>
      <c r="L17" s="268"/>
      <c r="M17" s="268"/>
      <c r="N17" s="268">
        <v>497</v>
      </c>
      <c r="O17" s="268"/>
      <c r="P17" s="268"/>
      <c r="Q17" s="268"/>
      <c r="R17" s="268">
        <v>57</v>
      </c>
      <c r="S17" s="268"/>
      <c r="T17" s="268"/>
      <c r="U17" s="268"/>
      <c r="V17" s="697">
        <v>1453</v>
      </c>
      <c r="W17" s="697"/>
      <c r="X17" s="697"/>
      <c r="Y17" s="697"/>
      <c r="Z17" s="268">
        <v>0</v>
      </c>
      <c r="AA17" s="268"/>
      <c r="AB17" s="268"/>
      <c r="AC17" s="268"/>
      <c r="AD17" s="268">
        <v>0</v>
      </c>
      <c r="AE17" s="268"/>
      <c r="AF17" s="268"/>
      <c r="AG17" s="269"/>
    </row>
    <row r="18" spans="1:33" ht="22.5" customHeight="1" thickBot="1">
      <c r="A18" s="689" t="s">
        <v>97</v>
      </c>
      <c r="B18" s="280">
        <v>60</v>
      </c>
      <c r="C18" s="280"/>
      <c r="D18" s="280"/>
      <c r="E18" s="280"/>
      <c r="F18" s="718">
        <v>1136</v>
      </c>
      <c r="G18" s="718"/>
      <c r="H18" s="718"/>
      <c r="I18" s="718"/>
      <c r="J18" s="280">
        <v>34</v>
      </c>
      <c r="K18" s="280"/>
      <c r="L18" s="280"/>
      <c r="M18" s="280"/>
      <c r="N18" s="718">
        <v>806</v>
      </c>
      <c r="O18" s="718"/>
      <c r="P18" s="718"/>
      <c r="Q18" s="718"/>
      <c r="R18" s="280">
        <v>34</v>
      </c>
      <c r="S18" s="280"/>
      <c r="T18" s="280"/>
      <c r="U18" s="280"/>
      <c r="V18" s="280">
        <v>330</v>
      </c>
      <c r="W18" s="280"/>
      <c r="X18" s="280"/>
      <c r="Y18" s="280"/>
      <c r="Z18" s="719">
        <v>0</v>
      </c>
      <c r="AA18" s="719"/>
      <c r="AB18" s="719"/>
      <c r="AC18" s="719"/>
      <c r="AD18" s="719">
        <v>0</v>
      </c>
      <c r="AE18" s="719"/>
      <c r="AF18" s="719"/>
      <c r="AG18" s="720"/>
    </row>
    <row r="20" ht="13.5">
      <c r="AI20" s="27"/>
    </row>
    <row r="21" spans="14:15" ht="13.5">
      <c r="N21" s="27"/>
      <c r="O21" s="27"/>
    </row>
    <row r="33" ht="13.5">
      <c r="AH33" s="27"/>
    </row>
  </sheetData>
  <sheetProtection/>
  <mergeCells count="125">
    <mergeCell ref="Z17:AC17"/>
    <mergeCell ref="AD17:AG17"/>
    <mergeCell ref="B18:E18"/>
    <mergeCell ref="F18:I18"/>
    <mergeCell ref="J18:M18"/>
    <mergeCell ref="N18:Q18"/>
    <mergeCell ref="R18:U18"/>
    <mergeCell ref="V18:Y18"/>
    <mergeCell ref="Z18:AC18"/>
    <mergeCell ref="AD18:AG18"/>
    <mergeCell ref="B17:E17"/>
    <mergeCell ref="F17:I17"/>
    <mergeCell ref="J17:M17"/>
    <mergeCell ref="N17:Q17"/>
    <mergeCell ref="R17:U17"/>
    <mergeCell ref="V17:Y17"/>
    <mergeCell ref="Z15:AC15"/>
    <mergeCell ref="AD15:AG15"/>
    <mergeCell ref="B16:E16"/>
    <mergeCell ref="F16:I16"/>
    <mergeCell ref="J16:M16"/>
    <mergeCell ref="N16:Q16"/>
    <mergeCell ref="R16:U16"/>
    <mergeCell ref="V16:Y16"/>
    <mergeCell ref="Z16:AC16"/>
    <mergeCell ref="AD16:AG16"/>
    <mergeCell ref="B15:E15"/>
    <mergeCell ref="F15:I15"/>
    <mergeCell ref="J15:M15"/>
    <mergeCell ref="N15:Q15"/>
    <mergeCell ref="R15:U15"/>
    <mergeCell ref="V15:Y15"/>
    <mergeCell ref="Z13:AC13"/>
    <mergeCell ref="AD13:AG13"/>
    <mergeCell ref="B14:E14"/>
    <mergeCell ref="F14:I14"/>
    <mergeCell ref="J14:M14"/>
    <mergeCell ref="N14:Q14"/>
    <mergeCell ref="R14:U14"/>
    <mergeCell ref="V14:Y14"/>
    <mergeCell ref="Z14:AC14"/>
    <mergeCell ref="AD14:AG14"/>
    <mergeCell ref="B13:E13"/>
    <mergeCell ref="F13:I13"/>
    <mergeCell ref="J13:M13"/>
    <mergeCell ref="N13:Q13"/>
    <mergeCell ref="R13:U13"/>
    <mergeCell ref="V13:Y13"/>
    <mergeCell ref="Z11:AC11"/>
    <mergeCell ref="AD11:AG11"/>
    <mergeCell ref="B12:E12"/>
    <mergeCell ref="F12:I12"/>
    <mergeCell ref="J12:M12"/>
    <mergeCell ref="N12:Q12"/>
    <mergeCell ref="R12:U12"/>
    <mergeCell ref="V12:Y12"/>
    <mergeCell ref="Z12:AC12"/>
    <mergeCell ref="AD12:AG12"/>
    <mergeCell ref="B11:E11"/>
    <mergeCell ref="F11:I11"/>
    <mergeCell ref="J11:M11"/>
    <mergeCell ref="N11:Q11"/>
    <mergeCell ref="R11:U11"/>
    <mergeCell ref="V11:Y11"/>
    <mergeCell ref="Z9:AC9"/>
    <mergeCell ref="AD9:AG9"/>
    <mergeCell ref="B10:E10"/>
    <mergeCell ref="F10:I10"/>
    <mergeCell ref="J10:M10"/>
    <mergeCell ref="N10:Q10"/>
    <mergeCell ref="R10:U10"/>
    <mergeCell ref="V10:Y10"/>
    <mergeCell ref="Z10:AC10"/>
    <mergeCell ref="AD10:AG10"/>
    <mergeCell ref="B9:E9"/>
    <mergeCell ref="F9:I9"/>
    <mergeCell ref="J9:M9"/>
    <mergeCell ref="N9:Q9"/>
    <mergeCell ref="R9:U9"/>
    <mergeCell ref="V9:Y9"/>
    <mergeCell ref="Z7:AC7"/>
    <mergeCell ref="AD7:AG7"/>
    <mergeCell ref="B8:E8"/>
    <mergeCell ref="F8:I8"/>
    <mergeCell ref="J8:M8"/>
    <mergeCell ref="N8:Q8"/>
    <mergeCell ref="R8:U8"/>
    <mergeCell ref="V8:Y8"/>
    <mergeCell ref="Z8:AC8"/>
    <mergeCell ref="AD8:AG8"/>
    <mergeCell ref="B7:E7"/>
    <mergeCell ref="F7:I7"/>
    <mergeCell ref="J7:M7"/>
    <mergeCell ref="N7:Q7"/>
    <mergeCell ref="R7:U7"/>
    <mergeCell ref="V7:Y7"/>
    <mergeCell ref="AD5:AG5"/>
    <mergeCell ref="B6:E6"/>
    <mergeCell ref="F6:I6"/>
    <mergeCell ref="J6:M6"/>
    <mergeCell ref="N6:Q6"/>
    <mergeCell ref="R6:U6"/>
    <mergeCell ref="V6:Y6"/>
    <mergeCell ref="Z6:AC6"/>
    <mergeCell ref="AD6:AG6"/>
    <mergeCell ref="V4:Y4"/>
    <mergeCell ref="Z4:AC4"/>
    <mergeCell ref="AD4:AG4"/>
    <mergeCell ref="B5:E5"/>
    <mergeCell ref="F5:I5"/>
    <mergeCell ref="J5:M5"/>
    <mergeCell ref="N5:Q5"/>
    <mergeCell ref="R5:U5"/>
    <mergeCell ref="V5:Y5"/>
    <mergeCell ref="Z5:AC5"/>
    <mergeCell ref="A3:A4"/>
    <mergeCell ref="B3:I3"/>
    <mergeCell ref="J3:Q3"/>
    <mergeCell ref="R3:Y3"/>
    <mergeCell ref="Z3:AG3"/>
    <mergeCell ref="B4:E4"/>
    <mergeCell ref="F4:I4"/>
    <mergeCell ref="J4:M4"/>
    <mergeCell ref="N4:Q4"/>
    <mergeCell ref="R4:U4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&amp;C- 49 -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P40"/>
  <sheetViews>
    <sheetView zoomScaleSheetLayoutView="100" workbookViewId="0" topLeftCell="D19">
      <selection activeCell="AJ10" sqref="AJ10:AN10"/>
    </sheetView>
  </sheetViews>
  <sheetFormatPr defaultColWidth="9.00390625" defaultRowHeight="13.5"/>
  <cols>
    <col min="1" max="5" width="1.625" style="0" customWidth="1"/>
    <col min="6" max="6" width="1.75390625" style="0" customWidth="1"/>
    <col min="7" max="10" width="1.4921875" style="0" customWidth="1"/>
    <col min="11" max="15" width="1.4921875" style="60" customWidth="1"/>
    <col min="16" max="19" width="1.37890625" style="60" customWidth="1"/>
    <col min="20" max="20" width="2.375" style="60" customWidth="1"/>
    <col min="21" max="27" width="1.37890625" style="60" customWidth="1"/>
    <col min="28" max="59" width="1.37890625" style="0" customWidth="1"/>
    <col min="60" max="60" width="2.00390625" style="0" customWidth="1"/>
    <col min="61" max="65" width="1.37890625" style="0" customWidth="1"/>
    <col min="66" max="120" width="1.37890625" style="60" customWidth="1"/>
    <col min="121" max="137" width="1.37890625" style="0" customWidth="1"/>
    <col min="138" max="169" width="1.625" style="0" customWidth="1"/>
  </cols>
  <sheetData>
    <row r="1" ht="14.25" customHeight="1">
      <c r="A1" t="s">
        <v>279</v>
      </c>
    </row>
    <row r="2" ht="6.75" customHeight="1" thickBot="1"/>
    <row r="3" spans="1:120" ht="15" customHeight="1">
      <c r="A3" s="152" t="s">
        <v>34</v>
      </c>
      <c r="B3" s="136"/>
      <c r="C3" s="136"/>
      <c r="D3" s="136"/>
      <c r="E3" s="136"/>
      <c r="F3" s="115" t="s">
        <v>280</v>
      </c>
      <c r="G3" s="115"/>
      <c r="H3" s="115"/>
      <c r="I3" s="115"/>
      <c r="J3" s="115"/>
      <c r="K3" s="723" t="s">
        <v>19</v>
      </c>
      <c r="L3" s="723"/>
      <c r="M3" s="723"/>
      <c r="N3" s="723"/>
      <c r="O3" s="723"/>
      <c r="P3" s="723"/>
      <c r="Q3" s="723"/>
      <c r="R3" s="723"/>
      <c r="S3" s="723"/>
      <c r="T3" s="723"/>
      <c r="U3" s="142" t="s">
        <v>281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724"/>
    </row>
    <row r="4" spans="1:120" ht="13.5">
      <c r="A4" s="459"/>
      <c r="B4" s="118"/>
      <c r="C4" s="118"/>
      <c r="D4" s="118"/>
      <c r="E4" s="118"/>
      <c r="F4" s="116"/>
      <c r="G4" s="116"/>
      <c r="H4" s="116"/>
      <c r="I4" s="116"/>
      <c r="J4" s="116"/>
      <c r="K4" s="725" t="s">
        <v>282</v>
      </c>
      <c r="L4" s="726"/>
      <c r="M4" s="726"/>
      <c r="N4" s="726"/>
      <c r="O4" s="726"/>
      <c r="P4" s="725" t="s">
        <v>283</v>
      </c>
      <c r="Q4" s="726"/>
      <c r="R4" s="726"/>
      <c r="S4" s="726"/>
      <c r="T4" s="726"/>
      <c r="U4" s="118" t="s">
        <v>284</v>
      </c>
      <c r="V4" s="118"/>
      <c r="W4" s="118"/>
      <c r="X4" s="118"/>
      <c r="Y4" s="118"/>
      <c r="Z4" s="118"/>
      <c r="AA4" s="118"/>
      <c r="AB4" s="118"/>
      <c r="AC4" s="118"/>
      <c r="AD4" s="118"/>
      <c r="AE4" s="118" t="s">
        <v>285</v>
      </c>
      <c r="AF4" s="118"/>
      <c r="AG4" s="118"/>
      <c r="AH4" s="118"/>
      <c r="AI4" s="118"/>
      <c r="AJ4" s="118"/>
      <c r="AK4" s="118"/>
      <c r="AL4" s="118"/>
      <c r="AM4" s="118"/>
      <c r="AN4" s="118"/>
      <c r="AO4" s="118" t="s">
        <v>286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 t="s">
        <v>287</v>
      </c>
      <c r="AZ4" s="118"/>
      <c r="BA4" s="118"/>
      <c r="BB4" s="118"/>
      <c r="BC4" s="118"/>
      <c r="BD4" s="118"/>
      <c r="BE4" s="118"/>
      <c r="BF4" s="118"/>
      <c r="BG4" s="118"/>
      <c r="BH4" s="118"/>
      <c r="BI4" s="118" t="s">
        <v>288</v>
      </c>
      <c r="BJ4" s="118"/>
      <c r="BK4" s="118"/>
      <c r="BL4" s="118"/>
      <c r="BM4" s="118"/>
      <c r="BN4" s="118"/>
      <c r="BO4" s="118"/>
      <c r="BP4" s="118"/>
      <c r="BQ4" s="118"/>
      <c r="BR4" s="118"/>
      <c r="BS4" s="727" t="s">
        <v>289</v>
      </c>
      <c r="BT4" s="727"/>
      <c r="BU4" s="727"/>
      <c r="BV4" s="727"/>
      <c r="BW4" s="727"/>
      <c r="BX4" s="727"/>
      <c r="BY4" s="727"/>
      <c r="BZ4" s="727"/>
      <c r="CA4" s="727"/>
      <c r="CB4" s="727"/>
      <c r="CC4" s="727" t="s">
        <v>290</v>
      </c>
      <c r="CD4" s="727"/>
      <c r="CE4" s="727"/>
      <c r="CF4" s="727"/>
      <c r="CG4" s="727"/>
      <c r="CH4" s="727"/>
      <c r="CI4" s="727"/>
      <c r="CJ4" s="727"/>
      <c r="CK4" s="727"/>
      <c r="CL4" s="727"/>
      <c r="CM4" s="727" t="s">
        <v>291</v>
      </c>
      <c r="CN4" s="727"/>
      <c r="CO4" s="727"/>
      <c r="CP4" s="727"/>
      <c r="CQ4" s="727"/>
      <c r="CR4" s="727"/>
      <c r="CS4" s="727"/>
      <c r="CT4" s="727"/>
      <c r="CU4" s="727"/>
      <c r="CV4" s="727"/>
      <c r="CW4" s="727" t="s">
        <v>292</v>
      </c>
      <c r="CX4" s="727"/>
      <c r="CY4" s="727"/>
      <c r="CZ4" s="727"/>
      <c r="DA4" s="727"/>
      <c r="DB4" s="727"/>
      <c r="DC4" s="727"/>
      <c r="DD4" s="727"/>
      <c r="DE4" s="727"/>
      <c r="DF4" s="727"/>
      <c r="DG4" s="727" t="s">
        <v>293</v>
      </c>
      <c r="DH4" s="727"/>
      <c r="DI4" s="727"/>
      <c r="DJ4" s="727"/>
      <c r="DK4" s="727"/>
      <c r="DL4" s="727"/>
      <c r="DM4" s="727"/>
      <c r="DN4" s="727"/>
      <c r="DO4" s="727"/>
      <c r="DP4" s="728"/>
    </row>
    <row r="5" spans="1:120" ht="37.5" customHeight="1">
      <c r="A5" s="459"/>
      <c r="B5" s="118"/>
      <c r="C5" s="118"/>
      <c r="D5" s="118"/>
      <c r="E5" s="118"/>
      <c r="F5" s="116"/>
      <c r="G5" s="116"/>
      <c r="H5" s="116"/>
      <c r="I5" s="116"/>
      <c r="J5" s="11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9" t="s">
        <v>294</v>
      </c>
      <c r="V5" s="730"/>
      <c r="W5" s="730"/>
      <c r="X5" s="730"/>
      <c r="Y5" s="730"/>
      <c r="Z5" s="116" t="s">
        <v>295</v>
      </c>
      <c r="AA5" s="118"/>
      <c r="AB5" s="118"/>
      <c r="AC5" s="118"/>
      <c r="AD5" s="118"/>
      <c r="AE5" s="731" t="s">
        <v>294</v>
      </c>
      <c r="AF5" s="732"/>
      <c r="AG5" s="732"/>
      <c r="AH5" s="732"/>
      <c r="AI5" s="732"/>
      <c r="AJ5" s="116" t="s">
        <v>295</v>
      </c>
      <c r="AK5" s="118"/>
      <c r="AL5" s="118"/>
      <c r="AM5" s="118"/>
      <c r="AN5" s="118"/>
      <c r="AO5" s="731" t="s">
        <v>294</v>
      </c>
      <c r="AP5" s="732"/>
      <c r="AQ5" s="732"/>
      <c r="AR5" s="732"/>
      <c r="AS5" s="732"/>
      <c r="AT5" s="116" t="s">
        <v>295</v>
      </c>
      <c r="AU5" s="118"/>
      <c r="AV5" s="118"/>
      <c r="AW5" s="118"/>
      <c r="AX5" s="118"/>
      <c r="AY5" s="731" t="s">
        <v>294</v>
      </c>
      <c r="AZ5" s="732"/>
      <c r="BA5" s="732"/>
      <c r="BB5" s="732"/>
      <c r="BC5" s="732"/>
      <c r="BD5" s="116" t="s">
        <v>295</v>
      </c>
      <c r="BE5" s="118"/>
      <c r="BF5" s="118"/>
      <c r="BG5" s="118"/>
      <c r="BH5" s="118"/>
      <c r="BI5" s="731" t="s">
        <v>294</v>
      </c>
      <c r="BJ5" s="732"/>
      <c r="BK5" s="732"/>
      <c r="BL5" s="732"/>
      <c r="BM5" s="732"/>
      <c r="BN5" s="733" t="s">
        <v>295</v>
      </c>
      <c r="BO5" s="727"/>
      <c r="BP5" s="727"/>
      <c r="BQ5" s="727"/>
      <c r="BR5" s="727"/>
      <c r="BS5" s="729" t="s">
        <v>294</v>
      </c>
      <c r="BT5" s="730"/>
      <c r="BU5" s="730"/>
      <c r="BV5" s="730"/>
      <c r="BW5" s="730"/>
      <c r="BX5" s="733" t="s">
        <v>295</v>
      </c>
      <c r="BY5" s="727"/>
      <c r="BZ5" s="727"/>
      <c r="CA5" s="727"/>
      <c r="CB5" s="727"/>
      <c r="CC5" s="729" t="s">
        <v>294</v>
      </c>
      <c r="CD5" s="730"/>
      <c r="CE5" s="730"/>
      <c r="CF5" s="730"/>
      <c r="CG5" s="730"/>
      <c r="CH5" s="733" t="s">
        <v>295</v>
      </c>
      <c r="CI5" s="727"/>
      <c r="CJ5" s="727"/>
      <c r="CK5" s="727"/>
      <c r="CL5" s="727"/>
      <c r="CM5" s="729" t="s">
        <v>294</v>
      </c>
      <c r="CN5" s="730"/>
      <c r="CO5" s="730"/>
      <c r="CP5" s="730"/>
      <c r="CQ5" s="730"/>
      <c r="CR5" s="733" t="s">
        <v>295</v>
      </c>
      <c r="CS5" s="727"/>
      <c r="CT5" s="727"/>
      <c r="CU5" s="727"/>
      <c r="CV5" s="727"/>
      <c r="CW5" s="729" t="s">
        <v>294</v>
      </c>
      <c r="CX5" s="730"/>
      <c r="CY5" s="730"/>
      <c r="CZ5" s="730"/>
      <c r="DA5" s="730"/>
      <c r="DB5" s="733" t="s">
        <v>295</v>
      </c>
      <c r="DC5" s="727"/>
      <c r="DD5" s="727"/>
      <c r="DE5" s="727"/>
      <c r="DF5" s="727"/>
      <c r="DG5" s="729" t="s">
        <v>294</v>
      </c>
      <c r="DH5" s="730"/>
      <c r="DI5" s="730"/>
      <c r="DJ5" s="730"/>
      <c r="DK5" s="730"/>
      <c r="DL5" s="733" t="s">
        <v>295</v>
      </c>
      <c r="DM5" s="727"/>
      <c r="DN5" s="727"/>
      <c r="DO5" s="727"/>
      <c r="DP5" s="728"/>
    </row>
    <row r="6" spans="1:120" s="60" customFormat="1" ht="21.75" customHeight="1">
      <c r="A6" s="553" t="s">
        <v>19</v>
      </c>
      <c r="B6" s="727"/>
      <c r="C6" s="727"/>
      <c r="D6" s="727"/>
      <c r="E6" s="727"/>
      <c r="F6" s="734">
        <f>SUM(F7:J18)</f>
        <v>1333</v>
      </c>
      <c r="G6" s="734"/>
      <c r="H6" s="734"/>
      <c r="I6" s="734"/>
      <c r="J6" s="734"/>
      <c r="K6" s="734">
        <f>SUM(K7:O18)</f>
        <v>1188</v>
      </c>
      <c r="L6" s="734"/>
      <c r="M6" s="734"/>
      <c r="N6" s="734"/>
      <c r="O6" s="734"/>
      <c r="P6" s="734">
        <f>SUM(P7:T18)</f>
        <v>281468</v>
      </c>
      <c r="Q6" s="734"/>
      <c r="R6" s="734"/>
      <c r="S6" s="734"/>
      <c r="T6" s="734"/>
      <c r="U6" s="734">
        <f>SUM(U7:Y18)</f>
        <v>371</v>
      </c>
      <c r="V6" s="734"/>
      <c r="W6" s="734"/>
      <c r="X6" s="734"/>
      <c r="Y6" s="734"/>
      <c r="Z6" s="734">
        <f>SUM(Z7:AD18)</f>
        <v>7999</v>
      </c>
      <c r="AA6" s="734"/>
      <c r="AB6" s="734"/>
      <c r="AC6" s="734"/>
      <c r="AD6" s="734"/>
      <c r="AE6" s="734">
        <f>SUM(AE7:AI18)</f>
        <v>199</v>
      </c>
      <c r="AF6" s="734"/>
      <c r="AG6" s="734"/>
      <c r="AH6" s="734"/>
      <c r="AI6" s="734"/>
      <c r="AJ6" s="734">
        <f>SUM(AJ7:AN18)</f>
        <v>13967</v>
      </c>
      <c r="AK6" s="734"/>
      <c r="AL6" s="734"/>
      <c r="AM6" s="734"/>
      <c r="AN6" s="734"/>
      <c r="AO6" s="734">
        <f>SUM(AO7:AS18)</f>
        <v>133</v>
      </c>
      <c r="AP6" s="734"/>
      <c r="AQ6" s="734"/>
      <c r="AR6" s="734"/>
      <c r="AS6" s="734"/>
      <c r="AT6" s="734">
        <f>SUM(AT7:AX18)</f>
        <v>16091</v>
      </c>
      <c r="AU6" s="734"/>
      <c r="AV6" s="734"/>
      <c r="AW6" s="734"/>
      <c r="AX6" s="734"/>
      <c r="AY6" s="734">
        <f>SUM(AY7:BC18)</f>
        <v>102</v>
      </c>
      <c r="AZ6" s="734"/>
      <c r="BA6" s="734"/>
      <c r="BB6" s="734"/>
      <c r="BC6" s="734"/>
      <c r="BD6" s="734">
        <f>SUM(BD7:BH18)</f>
        <v>17362</v>
      </c>
      <c r="BE6" s="734"/>
      <c r="BF6" s="734"/>
      <c r="BG6" s="734"/>
      <c r="BH6" s="734"/>
      <c r="BI6" s="734">
        <f>SUM(BI7:BM18)</f>
        <v>117</v>
      </c>
      <c r="BJ6" s="734"/>
      <c r="BK6" s="734"/>
      <c r="BL6" s="734"/>
      <c r="BM6" s="734"/>
      <c r="BN6" s="734">
        <f>SUM(BN7:BR18)</f>
        <v>27213</v>
      </c>
      <c r="BO6" s="734"/>
      <c r="BP6" s="734"/>
      <c r="BQ6" s="734"/>
      <c r="BR6" s="734"/>
      <c r="BS6" s="734">
        <f>SUM(BS7:BW18)</f>
        <v>56</v>
      </c>
      <c r="BT6" s="734"/>
      <c r="BU6" s="734"/>
      <c r="BV6" s="734"/>
      <c r="BW6" s="734"/>
      <c r="BX6" s="734">
        <f>SUM(BX7:CB18)</f>
        <v>19216</v>
      </c>
      <c r="BY6" s="734"/>
      <c r="BZ6" s="734"/>
      <c r="CA6" s="734"/>
      <c r="CB6" s="734"/>
      <c r="CC6" s="734">
        <f>SUM(CC7:CG18)</f>
        <v>44</v>
      </c>
      <c r="CD6" s="734"/>
      <c r="CE6" s="734"/>
      <c r="CF6" s="734"/>
      <c r="CG6" s="734"/>
      <c r="CH6" s="734">
        <f>SUM(CH7:CL18)</f>
        <v>19700</v>
      </c>
      <c r="CI6" s="734"/>
      <c r="CJ6" s="734"/>
      <c r="CK6" s="734"/>
      <c r="CL6" s="734"/>
      <c r="CM6" s="734">
        <f>SUM(CM7:CQ18)</f>
        <v>108</v>
      </c>
      <c r="CN6" s="734"/>
      <c r="CO6" s="734"/>
      <c r="CP6" s="734"/>
      <c r="CQ6" s="734"/>
      <c r="CR6" s="734">
        <f>SUM(CR7:CV18)</f>
        <v>72745</v>
      </c>
      <c r="CS6" s="734"/>
      <c r="CT6" s="734"/>
      <c r="CU6" s="734"/>
      <c r="CV6" s="734"/>
      <c r="CW6" s="734">
        <f>SUM(CW7:DA18)</f>
        <v>31</v>
      </c>
      <c r="CX6" s="734"/>
      <c r="CY6" s="734"/>
      <c r="CZ6" s="734"/>
      <c r="DA6" s="734"/>
      <c r="DB6" s="734">
        <f>SUM(DB7:DF18)</f>
        <v>36577</v>
      </c>
      <c r="DC6" s="734"/>
      <c r="DD6" s="734"/>
      <c r="DE6" s="734"/>
      <c r="DF6" s="734"/>
      <c r="DG6" s="734">
        <f>SUM(DG7:DK18)</f>
        <v>27</v>
      </c>
      <c r="DH6" s="734"/>
      <c r="DI6" s="734"/>
      <c r="DJ6" s="734"/>
      <c r="DK6" s="734"/>
      <c r="DL6" s="734">
        <f>SUM(DL7:DP18)</f>
        <v>50598</v>
      </c>
      <c r="DM6" s="734"/>
      <c r="DN6" s="734"/>
      <c r="DO6" s="734"/>
      <c r="DP6" s="735"/>
    </row>
    <row r="7" spans="1:120" ht="21.75" customHeight="1">
      <c r="A7" s="459" t="s">
        <v>86</v>
      </c>
      <c r="B7" s="118"/>
      <c r="C7" s="118"/>
      <c r="D7" s="118"/>
      <c r="E7" s="118"/>
      <c r="F7" s="736">
        <v>80</v>
      </c>
      <c r="G7" s="736"/>
      <c r="H7" s="736"/>
      <c r="I7" s="736"/>
      <c r="J7" s="736"/>
      <c r="K7" s="734">
        <f>U7+AE7+AO7+AY7+BI7+BS7+CC7+CM7+CW7+DG7</f>
        <v>72</v>
      </c>
      <c r="L7" s="734"/>
      <c r="M7" s="734"/>
      <c r="N7" s="734"/>
      <c r="O7" s="734"/>
      <c r="P7" s="734">
        <f>Z7+AJ7+AT7+BD7+BN7+BX7+CH7+CR7+DB7+DL7</f>
        <v>21672</v>
      </c>
      <c r="Q7" s="734"/>
      <c r="R7" s="734"/>
      <c r="S7" s="734"/>
      <c r="T7" s="734"/>
      <c r="U7" s="734">
        <f>5+7+9</f>
        <v>21</v>
      </c>
      <c r="V7" s="734"/>
      <c r="W7" s="734"/>
      <c r="X7" s="734"/>
      <c r="Y7" s="734"/>
      <c r="Z7" s="736">
        <f>28+134+332</f>
        <v>494</v>
      </c>
      <c r="AA7" s="736"/>
      <c r="AB7" s="736"/>
      <c r="AC7" s="736"/>
      <c r="AD7" s="736"/>
      <c r="AE7" s="736">
        <v>7</v>
      </c>
      <c r="AF7" s="736"/>
      <c r="AG7" s="736"/>
      <c r="AH7" s="736"/>
      <c r="AI7" s="736"/>
      <c r="AJ7" s="736">
        <v>459</v>
      </c>
      <c r="AK7" s="736"/>
      <c r="AL7" s="736"/>
      <c r="AM7" s="736"/>
      <c r="AN7" s="736"/>
      <c r="AO7" s="736">
        <v>5</v>
      </c>
      <c r="AP7" s="736"/>
      <c r="AQ7" s="736"/>
      <c r="AR7" s="736"/>
      <c r="AS7" s="736"/>
      <c r="AT7" s="736">
        <v>575</v>
      </c>
      <c r="AU7" s="736"/>
      <c r="AV7" s="736"/>
      <c r="AW7" s="736"/>
      <c r="AX7" s="736"/>
      <c r="AY7" s="736">
        <v>8</v>
      </c>
      <c r="AZ7" s="736"/>
      <c r="BA7" s="736"/>
      <c r="BB7" s="736"/>
      <c r="BC7" s="736"/>
      <c r="BD7" s="736">
        <v>1387</v>
      </c>
      <c r="BE7" s="736"/>
      <c r="BF7" s="736"/>
      <c r="BG7" s="736"/>
      <c r="BH7" s="736"/>
      <c r="BI7" s="736">
        <v>9</v>
      </c>
      <c r="BJ7" s="736"/>
      <c r="BK7" s="736"/>
      <c r="BL7" s="736"/>
      <c r="BM7" s="736"/>
      <c r="BN7" s="734">
        <v>2154</v>
      </c>
      <c r="BO7" s="734"/>
      <c r="BP7" s="734"/>
      <c r="BQ7" s="734"/>
      <c r="BR7" s="734"/>
      <c r="BS7" s="734">
        <v>5</v>
      </c>
      <c r="BT7" s="734"/>
      <c r="BU7" s="734"/>
      <c r="BV7" s="734"/>
      <c r="BW7" s="734"/>
      <c r="BX7" s="734">
        <v>1761</v>
      </c>
      <c r="BY7" s="734"/>
      <c r="BZ7" s="734"/>
      <c r="CA7" s="734"/>
      <c r="CB7" s="734"/>
      <c r="CC7" s="734">
        <v>3</v>
      </c>
      <c r="CD7" s="734"/>
      <c r="CE7" s="734"/>
      <c r="CF7" s="734"/>
      <c r="CG7" s="734"/>
      <c r="CH7" s="734">
        <v>1416</v>
      </c>
      <c r="CI7" s="734"/>
      <c r="CJ7" s="734"/>
      <c r="CK7" s="734"/>
      <c r="CL7" s="734"/>
      <c r="CM7" s="734">
        <v>9</v>
      </c>
      <c r="CN7" s="734"/>
      <c r="CO7" s="734"/>
      <c r="CP7" s="734"/>
      <c r="CQ7" s="734"/>
      <c r="CR7" s="734">
        <v>6207</v>
      </c>
      <c r="CS7" s="734"/>
      <c r="CT7" s="734"/>
      <c r="CU7" s="734"/>
      <c r="CV7" s="734"/>
      <c r="CW7" s="734">
        <v>2</v>
      </c>
      <c r="CX7" s="734"/>
      <c r="CY7" s="734"/>
      <c r="CZ7" s="734"/>
      <c r="DA7" s="734"/>
      <c r="DB7" s="734">
        <v>2411</v>
      </c>
      <c r="DC7" s="734"/>
      <c r="DD7" s="734"/>
      <c r="DE7" s="734"/>
      <c r="DF7" s="734"/>
      <c r="DG7" s="737">
        <v>3</v>
      </c>
      <c r="DH7" s="737"/>
      <c r="DI7" s="737"/>
      <c r="DJ7" s="737"/>
      <c r="DK7" s="737"/>
      <c r="DL7" s="737">
        <v>4808</v>
      </c>
      <c r="DM7" s="737"/>
      <c r="DN7" s="737"/>
      <c r="DO7" s="737"/>
      <c r="DP7" s="738"/>
    </row>
    <row r="8" spans="1:120" ht="21.75" customHeight="1">
      <c r="A8" s="459" t="s">
        <v>87</v>
      </c>
      <c r="B8" s="118"/>
      <c r="C8" s="118"/>
      <c r="D8" s="118"/>
      <c r="E8" s="118"/>
      <c r="F8" s="736">
        <v>89</v>
      </c>
      <c r="G8" s="736"/>
      <c r="H8" s="736"/>
      <c r="I8" s="736"/>
      <c r="J8" s="736"/>
      <c r="K8" s="734">
        <f aca="true" t="shared" si="0" ref="K8:K18">U8+AE8+AO8+AY8+BI8+BS8+CC8+CM8+CW8+DG8</f>
        <v>71</v>
      </c>
      <c r="L8" s="734"/>
      <c r="M8" s="734"/>
      <c r="N8" s="734"/>
      <c r="O8" s="734"/>
      <c r="P8" s="734">
        <f aca="true" t="shared" si="1" ref="P8:P18">Z8+AJ8+AT8+BD8+BN8+BX8+CH8+CR8+DB8+DL8</f>
        <v>16067</v>
      </c>
      <c r="Q8" s="734"/>
      <c r="R8" s="734"/>
      <c r="S8" s="734"/>
      <c r="T8" s="734"/>
      <c r="U8" s="734">
        <f>2+18+6</f>
        <v>26</v>
      </c>
      <c r="V8" s="734"/>
      <c r="W8" s="734"/>
      <c r="X8" s="734"/>
      <c r="Y8" s="734"/>
      <c r="Z8" s="736">
        <f>4+286+223</f>
        <v>513</v>
      </c>
      <c r="AA8" s="736"/>
      <c r="AB8" s="736"/>
      <c r="AC8" s="736"/>
      <c r="AD8" s="736"/>
      <c r="AE8" s="736">
        <v>6</v>
      </c>
      <c r="AF8" s="736"/>
      <c r="AG8" s="736"/>
      <c r="AH8" s="736"/>
      <c r="AI8" s="736"/>
      <c r="AJ8" s="736">
        <v>364</v>
      </c>
      <c r="AK8" s="736"/>
      <c r="AL8" s="736"/>
      <c r="AM8" s="736"/>
      <c r="AN8" s="736"/>
      <c r="AO8" s="736">
        <v>6</v>
      </c>
      <c r="AP8" s="736"/>
      <c r="AQ8" s="736"/>
      <c r="AR8" s="736"/>
      <c r="AS8" s="736"/>
      <c r="AT8" s="736">
        <v>669</v>
      </c>
      <c r="AU8" s="736"/>
      <c r="AV8" s="736"/>
      <c r="AW8" s="736"/>
      <c r="AX8" s="736"/>
      <c r="AY8" s="736">
        <v>5</v>
      </c>
      <c r="AZ8" s="736"/>
      <c r="BA8" s="736"/>
      <c r="BB8" s="736"/>
      <c r="BC8" s="736"/>
      <c r="BD8" s="736">
        <v>891</v>
      </c>
      <c r="BE8" s="736"/>
      <c r="BF8" s="736"/>
      <c r="BG8" s="736"/>
      <c r="BH8" s="736"/>
      <c r="BI8" s="736">
        <v>8</v>
      </c>
      <c r="BJ8" s="736"/>
      <c r="BK8" s="736"/>
      <c r="BL8" s="736"/>
      <c r="BM8" s="736"/>
      <c r="BN8" s="734">
        <v>1830</v>
      </c>
      <c r="BO8" s="734"/>
      <c r="BP8" s="734"/>
      <c r="BQ8" s="734"/>
      <c r="BR8" s="734"/>
      <c r="BS8" s="734">
        <v>6</v>
      </c>
      <c r="BT8" s="734"/>
      <c r="BU8" s="734"/>
      <c r="BV8" s="734"/>
      <c r="BW8" s="734"/>
      <c r="BX8" s="734">
        <v>1999</v>
      </c>
      <c r="BY8" s="734"/>
      <c r="BZ8" s="734"/>
      <c r="CA8" s="734"/>
      <c r="CB8" s="734"/>
      <c r="CC8" s="734">
        <v>3</v>
      </c>
      <c r="CD8" s="734"/>
      <c r="CE8" s="734"/>
      <c r="CF8" s="734"/>
      <c r="CG8" s="734"/>
      <c r="CH8" s="734">
        <v>1345</v>
      </c>
      <c r="CI8" s="734"/>
      <c r="CJ8" s="734"/>
      <c r="CK8" s="734"/>
      <c r="CL8" s="734"/>
      <c r="CM8" s="737">
        <v>9</v>
      </c>
      <c r="CN8" s="737"/>
      <c r="CO8" s="737"/>
      <c r="CP8" s="737"/>
      <c r="CQ8" s="737"/>
      <c r="CR8" s="737">
        <v>6251</v>
      </c>
      <c r="CS8" s="737"/>
      <c r="CT8" s="737"/>
      <c r="CU8" s="737"/>
      <c r="CV8" s="737"/>
      <c r="CW8" s="734">
        <v>2</v>
      </c>
      <c r="CX8" s="734"/>
      <c r="CY8" s="734"/>
      <c r="CZ8" s="734"/>
      <c r="DA8" s="734"/>
      <c r="DB8" s="734">
        <v>2205</v>
      </c>
      <c r="DC8" s="734"/>
      <c r="DD8" s="734"/>
      <c r="DE8" s="734"/>
      <c r="DF8" s="734"/>
      <c r="DG8" s="737">
        <v>0</v>
      </c>
      <c r="DH8" s="737"/>
      <c r="DI8" s="737"/>
      <c r="DJ8" s="737"/>
      <c r="DK8" s="737"/>
      <c r="DL8" s="737">
        <v>0</v>
      </c>
      <c r="DM8" s="737"/>
      <c r="DN8" s="737"/>
      <c r="DO8" s="737"/>
      <c r="DP8" s="738"/>
    </row>
    <row r="9" spans="1:120" ht="21.75" customHeight="1">
      <c r="A9" s="459" t="s">
        <v>296</v>
      </c>
      <c r="B9" s="118"/>
      <c r="C9" s="118"/>
      <c r="D9" s="118"/>
      <c r="E9" s="118"/>
      <c r="F9" s="736">
        <v>62</v>
      </c>
      <c r="G9" s="736"/>
      <c r="H9" s="736"/>
      <c r="I9" s="736"/>
      <c r="J9" s="736"/>
      <c r="K9" s="734">
        <f>U9+AE9+AO9+AY9+BI9+BS9+CC9+CM9+CW9+DG9</f>
        <v>80</v>
      </c>
      <c r="L9" s="734"/>
      <c r="M9" s="734"/>
      <c r="N9" s="734"/>
      <c r="O9" s="734"/>
      <c r="P9" s="734">
        <f t="shared" si="1"/>
        <v>19756</v>
      </c>
      <c r="Q9" s="734"/>
      <c r="R9" s="734"/>
      <c r="S9" s="734"/>
      <c r="T9" s="734"/>
      <c r="U9" s="734">
        <f>4+8+5</f>
        <v>17</v>
      </c>
      <c r="V9" s="734"/>
      <c r="W9" s="734"/>
      <c r="X9" s="734"/>
      <c r="Y9" s="734"/>
      <c r="Z9" s="736">
        <f>22+126+206</f>
        <v>354</v>
      </c>
      <c r="AA9" s="736"/>
      <c r="AB9" s="736"/>
      <c r="AC9" s="736"/>
      <c r="AD9" s="736"/>
      <c r="AE9" s="736">
        <v>14</v>
      </c>
      <c r="AF9" s="736"/>
      <c r="AG9" s="736"/>
      <c r="AH9" s="736"/>
      <c r="AI9" s="736"/>
      <c r="AJ9" s="736">
        <v>1023</v>
      </c>
      <c r="AK9" s="736"/>
      <c r="AL9" s="736"/>
      <c r="AM9" s="736"/>
      <c r="AN9" s="736"/>
      <c r="AO9" s="736">
        <v>14</v>
      </c>
      <c r="AP9" s="736"/>
      <c r="AQ9" s="736"/>
      <c r="AR9" s="736"/>
      <c r="AS9" s="736"/>
      <c r="AT9" s="736">
        <v>1750</v>
      </c>
      <c r="AU9" s="736"/>
      <c r="AV9" s="736"/>
      <c r="AW9" s="736"/>
      <c r="AX9" s="736"/>
      <c r="AY9" s="736">
        <v>6</v>
      </c>
      <c r="AZ9" s="736"/>
      <c r="BA9" s="736"/>
      <c r="BB9" s="736"/>
      <c r="BC9" s="736"/>
      <c r="BD9" s="736">
        <v>996</v>
      </c>
      <c r="BE9" s="736"/>
      <c r="BF9" s="736"/>
      <c r="BG9" s="736"/>
      <c r="BH9" s="736"/>
      <c r="BI9" s="736">
        <v>9</v>
      </c>
      <c r="BJ9" s="736"/>
      <c r="BK9" s="736"/>
      <c r="BL9" s="736"/>
      <c r="BM9" s="736"/>
      <c r="BN9" s="734">
        <v>2082</v>
      </c>
      <c r="BO9" s="734"/>
      <c r="BP9" s="734"/>
      <c r="BQ9" s="734"/>
      <c r="BR9" s="734"/>
      <c r="BS9" s="734">
        <v>4</v>
      </c>
      <c r="BT9" s="734"/>
      <c r="BU9" s="734"/>
      <c r="BV9" s="734"/>
      <c r="BW9" s="734"/>
      <c r="BX9" s="734">
        <v>1354</v>
      </c>
      <c r="BY9" s="734"/>
      <c r="BZ9" s="734"/>
      <c r="CA9" s="734"/>
      <c r="CB9" s="734"/>
      <c r="CC9" s="734">
        <v>4</v>
      </c>
      <c r="CD9" s="734"/>
      <c r="CE9" s="734"/>
      <c r="CF9" s="734"/>
      <c r="CG9" s="734"/>
      <c r="CH9" s="734">
        <v>1766</v>
      </c>
      <c r="CI9" s="734"/>
      <c r="CJ9" s="734"/>
      <c r="CK9" s="734"/>
      <c r="CL9" s="734"/>
      <c r="CM9" s="734">
        <v>9</v>
      </c>
      <c r="CN9" s="734"/>
      <c r="CO9" s="734"/>
      <c r="CP9" s="734"/>
      <c r="CQ9" s="734"/>
      <c r="CR9" s="734">
        <v>5367</v>
      </c>
      <c r="CS9" s="734"/>
      <c r="CT9" s="734"/>
      <c r="CU9" s="734"/>
      <c r="CV9" s="734"/>
      <c r="CW9" s="737">
        <v>1</v>
      </c>
      <c r="CX9" s="737"/>
      <c r="CY9" s="737"/>
      <c r="CZ9" s="737"/>
      <c r="DA9" s="737"/>
      <c r="DB9" s="737">
        <v>1385</v>
      </c>
      <c r="DC9" s="737"/>
      <c r="DD9" s="737"/>
      <c r="DE9" s="737"/>
      <c r="DF9" s="737"/>
      <c r="DG9" s="734">
        <v>2</v>
      </c>
      <c r="DH9" s="734"/>
      <c r="DI9" s="734"/>
      <c r="DJ9" s="734"/>
      <c r="DK9" s="734"/>
      <c r="DL9" s="734">
        <v>3679</v>
      </c>
      <c r="DM9" s="734"/>
      <c r="DN9" s="734"/>
      <c r="DO9" s="734"/>
      <c r="DP9" s="735"/>
    </row>
    <row r="10" spans="1:120" ht="21.75" customHeight="1">
      <c r="A10" s="459" t="s">
        <v>297</v>
      </c>
      <c r="B10" s="118"/>
      <c r="C10" s="118"/>
      <c r="D10" s="118"/>
      <c r="E10" s="118"/>
      <c r="F10" s="736">
        <v>17</v>
      </c>
      <c r="G10" s="736"/>
      <c r="H10" s="736"/>
      <c r="I10" s="736"/>
      <c r="J10" s="736"/>
      <c r="K10" s="734">
        <f t="shared" si="0"/>
        <v>25</v>
      </c>
      <c r="L10" s="734"/>
      <c r="M10" s="734"/>
      <c r="N10" s="734"/>
      <c r="O10" s="734"/>
      <c r="P10" s="734">
        <f t="shared" si="1"/>
        <v>2550</v>
      </c>
      <c r="Q10" s="734"/>
      <c r="R10" s="734"/>
      <c r="S10" s="734"/>
      <c r="T10" s="734"/>
      <c r="U10" s="734">
        <f>0+9+8</f>
        <v>17</v>
      </c>
      <c r="V10" s="734"/>
      <c r="W10" s="734"/>
      <c r="X10" s="734"/>
      <c r="Y10" s="734"/>
      <c r="Z10" s="736">
        <f>0+163+283</f>
        <v>446</v>
      </c>
      <c r="AA10" s="736"/>
      <c r="AB10" s="736"/>
      <c r="AC10" s="736"/>
      <c r="AD10" s="736"/>
      <c r="AE10" s="736">
        <v>3</v>
      </c>
      <c r="AF10" s="736"/>
      <c r="AG10" s="736"/>
      <c r="AH10" s="736"/>
      <c r="AI10" s="736"/>
      <c r="AJ10" s="736">
        <v>200</v>
      </c>
      <c r="AK10" s="736"/>
      <c r="AL10" s="736"/>
      <c r="AM10" s="736"/>
      <c r="AN10" s="736"/>
      <c r="AO10" s="736">
        <v>0</v>
      </c>
      <c r="AP10" s="736"/>
      <c r="AQ10" s="736"/>
      <c r="AR10" s="736"/>
      <c r="AS10" s="736"/>
      <c r="AT10" s="736">
        <v>0</v>
      </c>
      <c r="AU10" s="736"/>
      <c r="AV10" s="736"/>
      <c r="AW10" s="736"/>
      <c r="AX10" s="736"/>
      <c r="AY10" s="736">
        <v>1</v>
      </c>
      <c r="AZ10" s="736"/>
      <c r="BA10" s="736"/>
      <c r="BB10" s="736"/>
      <c r="BC10" s="736"/>
      <c r="BD10" s="736">
        <v>160</v>
      </c>
      <c r="BE10" s="736"/>
      <c r="BF10" s="736"/>
      <c r="BG10" s="736"/>
      <c r="BH10" s="736"/>
      <c r="BI10" s="736">
        <v>3</v>
      </c>
      <c r="BJ10" s="736"/>
      <c r="BK10" s="736"/>
      <c r="BL10" s="736"/>
      <c r="BM10" s="736"/>
      <c r="BN10" s="734">
        <v>799</v>
      </c>
      <c r="BO10" s="734"/>
      <c r="BP10" s="734"/>
      <c r="BQ10" s="734"/>
      <c r="BR10" s="734"/>
      <c r="BS10" s="734">
        <v>0</v>
      </c>
      <c r="BT10" s="734"/>
      <c r="BU10" s="734"/>
      <c r="BV10" s="734"/>
      <c r="BW10" s="734"/>
      <c r="BX10" s="734">
        <v>0</v>
      </c>
      <c r="BY10" s="734"/>
      <c r="BZ10" s="734"/>
      <c r="CA10" s="734"/>
      <c r="CB10" s="734"/>
      <c r="CC10" s="737">
        <v>0</v>
      </c>
      <c r="CD10" s="737"/>
      <c r="CE10" s="737"/>
      <c r="CF10" s="737"/>
      <c r="CG10" s="737"/>
      <c r="CH10" s="737">
        <v>0</v>
      </c>
      <c r="CI10" s="737"/>
      <c r="CJ10" s="737"/>
      <c r="CK10" s="737"/>
      <c r="CL10" s="737"/>
      <c r="CM10" s="734">
        <v>1</v>
      </c>
      <c r="CN10" s="734"/>
      <c r="CO10" s="734"/>
      <c r="CP10" s="734"/>
      <c r="CQ10" s="734"/>
      <c r="CR10" s="734">
        <v>945</v>
      </c>
      <c r="CS10" s="734"/>
      <c r="CT10" s="734"/>
      <c r="CU10" s="734"/>
      <c r="CV10" s="734"/>
      <c r="CW10" s="737">
        <v>0</v>
      </c>
      <c r="CX10" s="737"/>
      <c r="CY10" s="737"/>
      <c r="CZ10" s="737"/>
      <c r="DA10" s="737"/>
      <c r="DB10" s="737">
        <v>0</v>
      </c>
      <c r="DC10" s="737"/>
      <c r="DD10" s="737"/>
      <c r="DE10" s="737"/>
      <c r="DF10" s="737"/>
      <c r="DG10" s="737">
        <v>0</v>
      </c>
      <c r="DH10" s="737"/>
      <c r="DI10" s="737"/>
      <c r="DJ10" s="737"/>
      <c r="DK10" s="737"/>
      <c r="DL10" s="737">
        <v>0</v>
      </c>
      <c r="DM10" s="737"/>
      <c r="DN10" s="737"/>
      <c r="DO10" s="737"/>
      <c r="DP10" s="738"/>
    </row>
    <row r="11" spans="1:120" ht="21.75" customHeight="1">
      <c r="A11" s="459" t="s">
        <v>298</v>
      </c>
      <c r="B11" s="118"/>
      <c r="C11" s="118"/>
      <c r="D11" s="118"/>
      <c r="E11" s="118"/>
      <c r="F11" s="736">
        <v>11</v>
      </c>
      <c r="G11" s="736"/>
      <c r="H11" s="736"/>
      <c r="I11" s="736"/>
      <c r="J11" s="736"/>
      <c r="K11" s="734">
        <f t="shared" si="0"/>
        <v>22</v>
      </c>
      <c r="L11" s="734"/>
      <c r="M11" s="734"/>
      <c r="N11" s="734"/>
      <c r="O11" s="734"/>
      <c r="P11" s="734">
        <f t="shared" si="1"/>
        <v>967</v>
      </c>
      <c r="Q11" s="734"/>
      <c r="R11" s="734"/>
      <c r="S11" s="734"/>
      <c r="T11" s="734"/>
      <c r="U11" s="734">
        <f>2+8+3</f>
        <v>13</v>
      </c>
      <c r="V11" s="734"/>
      <c r="W11" s="734"/>
      <c r="X11" s="734"/>
      <c r="Y11" s="734"/>
      <c r="Z11" s="736">
        <f>11+106+115</f>
        <v>232</v>
      </c>
      <c r="AA11" s="736"/>
      <c r="AB11" s="736"/>
      <c r="AC11" s="736"/>
      <c r="AD11" s="736"/>
      <c r="AE11" s="736">
        <v>7</v>
      </c>
      <c r="AF11" s="736"/>
      <c r="AG11" s="736"/>
      <c r="AH11" s="736"/>
      <c r="AI11" s="736"/>
      <c r="AJ11" s="736">
        <v>425</v>
      </c>
      <c r="AK11" s="736"/>
      <c r="AL11" s="736"/>
      <c r="AM11" s="736"/>
      <c r="AN11" s="736"/>
      <c r="AO11" s="736">
        <v>1</v>
      </c>
      <c r="AP11" s="736"/>
      <c r="AQ11" s="736"/>
      <c r="AR11" s="736"/>
      <c r="AS11" s="736"/>
      <c r="AT11" s="736">
        <v>110</v>
      </c>
      <c r="AU11" s="736"/>
      <c r="AV11" s="736"/>
      <c r="AW11" s="736"/>
      <c r="AX11" s="736"/>
      <c r="AY11" s="739">
        <v>0</v>
      </c>
      <c r="AZ11" s="739"/>
      <c r="BA11" s="739"/>
      <c r="BB11" s="739"/>
      <c r="BC11" s="739"/>
      <c r="BD11" s="739">
        <v>0</v>
      </c>
      <c r="BE11" s="739"/>
      <c r="BF11" s="739"/>
      <c r="BG11" s="739"/>
      <c r="BH11" s="739"/>
      <c r="BI11" s="739">
        <v>1</v>
      </c>
      <c r="BJ11" s="739"/>
      <c r="BK11" s="739"/>
      <c r="BL11" s="739"/>
      <c r="BM11" s="739"/>
      <c r="BN11" s="737">
        <v>200</v>
      </c>
      <c r="BO11" s="737"/>
      <c r="BP11" s="737"/>
      <c r="BQ11" s="737"/>
      <c r="BR11" s="737"/>
      <c r="BS11" s="737">
        <v>0</v>
      </c>
      <c r="BT11" s="737"/>
      <c r="BU11" s="737"/>
      <c r="BV11" s="737"/>
      <c r="BW11" s="737"/>
      <c r="BX11" s="737">
        <v>0</v>
      </c>
      <c r="BY11" s="737"/>
      <c r="BZ11" s="737"/>
      <c r="CA11" s="737"/>
      <c r="CB11" s="737"/>
      <c r="CC11" s="737">
        <v>0</v>
      </c>
      <c r="CD11" s="737"/>
      <c r="CE11" s="737"/>
      <c r="CF11" s="737"/>
      <c r="CG11" s="737"/>
      <c r="CH11" s="737">
        <v>0</v>
      </c>
      <c r="CI11" s="737"/>
      <c r="CJ11" s="737"/>
      <c r="CK11" s="737"/>
      <c r="CL11" s="737"/>
      <c r="CM11" s="737">
        <v>0</v>
      </c>
      <c r="CN11" s="737"/>
      <c r="CO11" s="737"/>
      <c r="CP11" s="737"/>
      <c r="CQ11" s="737"/>
      <c r="CR11" s="737">
        <v>0</v>
      </c>
      <c r="CS11" s="737"/>
      <c r="CT11" s="737"/>
      <c r="CU11" s="737"/>
      <c r="CV11" s="737"/>
      <c r="CW11" s="737">
        <v>0</v>
      </c>
      <c r="CX11" s="737"/>
      <c r="CY11" s="737"/>
      <c r="CZ11" s="737"/>
      <c r="DA11" s="737"/>
      <c r="DB11" s="737">
        <v>0</v>
      </c>
      <c r="DC11" s="737"/>
      <c r="DD11" s="737"/>
      <c r="DE11" s="737"/>
      <c r="DF11" s="737"/>
      <c r="DG11" s="737">
        <v>0</v>
      </c>
      <c r="DH11" s="737"/>
      <c r="DI11" s="737"/>
      <c r="DJ11" s="737"/>
      <c r="DK11" s="737"/>
      <c r="DL11" s="737">
        <v>0</v>
      </c>
      <c r="DM11" s="737"/>
      <c r="DN11" s="737"/>
      <c r="DO11" s="737"/>
      <c r="DP11" s="738"/>
    </row>
    <row r="12" spans="1:120" ht="21.75" customHeight="1">
      <c r="A12" s="459" t="s">
        <v>299</v>
      </c>
      <c r="B12" s="118"/>
      <c r="C12" s="118"/>
      <c r="D12" s="118"/>
      <c r="E12" s="118"/>
      <c r="F12" s="736">
        <v>249</v>
      </c>
      <c r="G12" s="736"/>
      <c r="H12" s="736"/>
      <c r="I12" s="736"/>
      <c r="J12" s="736"/>
      <c r="K12" s="734">
        <f t="shared" si="0"/>
        <v>220</v>
      </c>
      <c r="L12" s="734"/>
      <c r="M12" s="734"/>
      <c r="N12" s="734"/>
      <c r="O12" s="734"/>
      <c r="P12" s="734">
        <f>Z12+AJ12+AT12+BD12+BN12+BX12+CH12+CR12+DB12+DL12</f>
        <v>42217</v>
      </c>
      <c r="Q12" s="734"/>
      <c r="R12" s="734"/>
      <c r="S12" s="734"/>
      <c r="T12" s="734"/>
      <c r="U12" s="734">
        <f>15+41+19</f>
        <v>75</v>
      </c>
      <c r="V12" s="734"/>
      <c r="W12" s="734"/>
      <c r="X12" s="734"/>
      <c r="Y12" s="734"/>
      <c r="Z12" s="736">
        <f>65+786+770</f>
        <v>1621</v>
      </c>
      <c r="AA12" s="736"/>
      <c r="AB12" s="736"/>
      <c r="AC12" s="736"/>
      <c r="AD12" s="736"/>
      <c r="AE12" s="736">
        <v>53</v>
      </c>
      <c r="AF12" s="736"/>
      <c r="AG12" s="736"/>
      <c r="AH12" s="736"/>
      <c r="AI12" s="736"/>
      <c r="AJ12" s="736">
        <v>3653</v>
      </c>
      <c r="AK12" s="736"/>
      <c r="AL12" s="736"/>
      <c r="AM12" s="736"/>
      <c r="AN12" s="736"/>
      <c r="AO12" s="736">
        <v>22</v>
      </c>
      <c r="AP12" s="736"/>
      <c r="AQ12" s="736"/>
      <c r="AR12" s="736"/>
      <c r="AS12" s="736"/>
      <c r="AT12" s="736">
        <v>2627</v>
      </c>
      <c r="AU12" s="736"/>
      <c r="AV12" s="736"/>
      <c r="AW12" s="736"/>
      <c r="AX12" s="736"/>
      <c r="AY12" s="736">
        <v>13</v>
      </c>
      <c r="AZ12" s="736"/>
      <c r="BA12" s="736"/>
      <c r="BB12" s="736"/>
      <c r="BC12" s="736"/>
      <c r="BD12" s="736">
        <v>2201</v>
      </c>
      <c r="BE12" s="736"/>
      <c r="BF12" s="736"/>
      <c r="BG12" s="736"/>
      <c r="BH12" s="736"/>
      <c r="BI12" s="736">
        <v>19</v>
      </c>
      <c r="BJ12" s="736"/>
      <c r="BK12" s="736"/>
      <c r="BL12" s="736"/>
      <c r="BM12" s="736"/>
      <c r="BN12" s="734">
        <v>4196</v>
      </c>
      <c r="BO12" s="734"/>
      <c r="BP12" s="734"/>
      <c r="BQ12" s="734"/>
      <c r="BR12" s="734"/>
      <c r="BS12" s="734">
        <v>8</v>
      </c>
      <c r="BT12" s="734"/>
      <c r="BU12" s="734"/>
      <c r="BV12" s="734"/>
      <c r="BW12" s="734"/>
      <c r="BX12" s="734">
        <v>2752</v>
      </c>
      <c r="BY12" s="734"/>
      <c r="BZ12" s="734"/>
      <c r="CA12" s="734"/>
      <c r="CB12" s="734"/>
      <c r="CC12" s="734">
        <v>5</v>
      </c>
      <c r="CD12" s="734"/>
      <c r="CE12" s="734"/>
      <c r="CF12" s="734"/>
      <c r="CG12" s="734"/>
      <c r="CH12" s="734">
        <v>2231</v>
      </c>
      <c r="CI12" s="734"/>
      <c r="CJ12" s="734"/>
      <c r="CK12" s="734"/>
      <c r="CL12" s="734"/>
      <c r="CM12" s="734">
        <v>15</v>
      </c>
      <c r="CN12" s="734"/>
      <c r="CO12" s="734"/>
      <c r="CP12" s="734"/>
      <c r="CQ12" s="734"/>
      <c r="CR12" s="734">
        <v>10155</v>
      </c>
      <c r="CS12" s="734"/>
      <c r="CT12" s="734"/>
      <c r="CU12" s="734"/>
      <c r="CV12" s="734"/>
      <c r="CW12" s="734">
        <v>8</v>
      </c>
      <c r="CX12" s="734"/>
      <c r="CY12" s="734"/>
      <c r="CZ12" s="734"/>
      <c r="DA12" s="734"/>
      <c r="DB12" s="734">
        <v>9261</v>
      </c>
      <c r="DC12" s="734"/>
      <c r="DD12" s="734"/>
      <c r="DE12" s="734"/>
      <c r="DF12" s="734"/>
      <c r="DG12" s="737">
        <v>2</v>
      </c>
      <c r="DH12" s="737"/>
      <c r="DI12" s="737"/>
      <c r="DJ12" s="737"/>
      <c r="DK12" s="737"/>
      <c r="DL12" s="737">
        <v>3520</v>
      </c>
      <c r="DM12" s="737"/>
      <c r="DN12" s="737"/>
      <c r="DO12" s="737"/>
      <c r="DP12" s="738"/>
    </row>
    <row r="13" spans="1:120" ht="21.75" customHeight="1">
      <c r="A13" s="459" t="s">
        <v>300</v>
      </c>
      <c r="B13" s="118"/>
      <c r="C13" s="118"/>
      <c r="D13" s="118"/>
      <c r="E13" s="118"/>
      <c r="F13" s="736">
        <v>139</v>
      </c>
      <c r="G13" s="736"/>
      <c r="H13" s="736"/>
      <c r="I13" s="736"/>
      <c r="J13" s="736"/>
      <c r="K13" s="734">
        <f>U13+AE13+AO13+AY13+BI13+BS13+CC13+CM13+CW13+DG13</f>
        <v>121</v>
      </c>
      <c r="L13" s="734"/>
      <c r="M13" s="734"/>
      <c r="N13" s="734"/>
      <c r="O13" s="734"/>
      <c r="P13" s="734">
        <f>Z13+AJ13+AT13+BD13+BN13+BX13+CH13+CR13+DB13+DL13</f>
        <v>32551</v>
      </c>
      <c r="Q13" s="734"/>
      <c r="R13" s="734"/>
      <c r="S13" s="734"/>
      <c r="T13" s="734"/>
      <c r="U13" s="734">
        <f>10+13+11</f>
        <v>34</v>
      </c>
      <c r="V13" s="734"/>
      <c r="W13" s="734"/>
      <c r="X13" s="734"/>
      <c r="Y13" s="734"/>
      <c r="Z13" s="736">
        <f>55+240+408</f>
        <v>703</v>
      </c>
      <c r="AA13" s="736"/>
      <c r="AB13" s="736"/>
      <c r="AC13" s="736"/>
      <c r="AD13" s="736"/>
      <c r="AE13" s="736">
        <v>16</v>
      </c>
      <c r="AF13" s="736"/>
      <c r="AG13" s="736"/>
      <c r="AH13" s="736"/>
      <c r="AI13" s="736"/>
      <c r="AJ13" s="736">
        <v>1109</v>
      </c>
      <c r="AK13" s="736"/>
      <c r="AL13" s="736"/>
      <c r="AM13" s="736"/>
      <c r="AN13" s="736"/>
      <c r="AO13" s="736">
        <v>15</v>
      </c>
      <c r="AP13" s="736"/>
      <c r="AQ13" s="736"/>
      <c r="AR13" s="736"/>
      <c r="AS13" s="736"/>
      <c r="AT13" s="736">
        <v>1905</v>
      </c>
      <c r="AU13" s="736"/>
      <c r="AV13" s="736"/>
      <c r="AW13" s="736"/>
      <c r="AX13" s="736"/>
      <c r="AY13" s="736">
        <v>13</v>
      </c>
      <c r="AZ13" s="736"/>
      <c r="BA13" s="736"/>
      <c r="BB13" s="736"/>
      <c r="BC13" s="736"/>
      <c r="BD13" s="736">
        <v>2204</v>
      </c>
      <c r="BE13" s="736"/>
      <c r="BF13" s="736"/>
      <c r="BG13" s="736"/>
      <c r="BH13" s="736"/>
      <c r="BI13" s="736">
        <v>14</v>
      </c>
      <c r="BJ13" s="736"/>
      <c r="BK13" s="736"/>
      <c r="BL13" s="736"/>
      <c r="BM13" s="736"/>
      <c r="BN13" s="734">
        <v>3247</v>
      </c>
      <c r="BO13" s="734"/>
      <c r="BP13" s="734"/>
      <c r="BQ13" s="734"/>
      <c r="BR13" s="734"/>
      <c r="BS13" s="734">
        <v>4</v>
      </c>
      <c r="BT13" s="734"/>
      <c r="BU13" s="734"/>
      <c r="BV13" s="734"/>
      <c r="BW13" s="734"/>
      <c r="BX13" s="734">
        <v>1376</v>
      </c>
      <c r="BY13" s="734"/>
      <c r="BZ13" s="734"/>
      <c r="CA13" s="734"/>
      <c r="CB13" s="734"/>
      <c r="CC13" s="734">
        <v>4</v>
      </c>
      <c r="CD13" s="734"/>
      <c r="CE13" s="734"/>
      <c r="CF13" s="734"/>
      <c r="CG13" s="734"/>
      <c r="CH13" s="734">
        <v>1829</v>
      </c>
      <c r="CI13" s="734"/>
      <c r="CJ13" s="734"/>
      <c r="CK13" s="734"/>
      <c r="CL13" s="734"/>
      <c r="CM13" s="734">
        <v>16</v>
      </c>
      <c r="CN13" s="734"/>
      <c r="CO13" s="734"/>
      <c r="CP13" s="734"/>
      <c r="CQ13" s="734"/>
      <c r="CR13" s="734">
        <v>10638</v>
      </c>
      <c r="CS13" s="734"/>
      <c r="CT13" s="734"/>
      <c r="CU13" s="734"/>
      <c r="CV13" s="734"/>
      <c r="CW13" s="734">
        <v>1</v>
      </c>
      <c r="CX13" s="734"/>
      <c r="CY13" s="734"/>
      <c r="CZ13" s="734"/>
      <c r="DA13" s="734"/>
      <c r="DB13" s="734">
        <v>1200</v>
      </c>
      <c r="DC13" s="734"/>
      <c r="DD13" s="734"/>
      <c r="DE13" s="734"/>
      <c r="DF13" s="734"/>
      <c r="DG13" s="737">
        <f>3+1</f>
        <v>4</v>
      </c>
      <c r="DH13" s="737"/>
      <c r="DI13" s="737"/>
      <c r="DJ13" s="737"/>
      <c r="DK13" s="737"/>
      <c r="DL13" s="737">
        <f>5090+3250</f>
        <v>8340</v>
      </c>
      <c r="DM13" s="737"/>
      <c r="DN13" s="737"/>
      <c r="DO13" s="737"/>
      <c r="DP13" s="738"/>
    </row>
    <row r="14" spans="1:120" ht="21.75" customHeight="1">
      <c r="A14" s="459" t="s">
        <v>301</v>
      </c>
      <c r="B14" s="118"/>
      <c r="C14" s="118"/>
      <c r="D14" s="118"/>
      <c r="E14" s="118"/>
      <c r="F14" s="736">
        <v>20</v>
      </c>
      <c r="G14" s="736"/>
      <c r="H14" s="736"/>
      <c r="I14" s="736"/>
      <c r="J14" s="736"/>
      <c r="K14" s="734">
        <f>U14+AE14+AO14+AY14+BI14+BS14+CC14+CM14+CW14+DG14</f>
        <v>17</v>
      </c>
      <c r="L14" s="734"/>
      <c r="M14" s="734"/>
      <c r="N14" s="734"/>
      <c r="O14" s="734"/>
      <c r="P14" s="734">
        <f>Z14+AJ14+AT14+BD14+BN14+BX14+CH14+CR14+DB14+DL14</f>
        <v>5967</v>
      </c>
      <c r="Q14" s="734"/>
      <c r="R14" s="734"/>
      <c r="S14" s="734"/>
      <c r="T14" s="734"/>
      <c r="U14" s="734">
        <f>1+5+3</f>
        <v>9</v>
      </c>
      <c r="V14" s="734"/>
      <c r="W14" s="734"/>
      <c r="X14" s="734"/>
      <c r="Y14" s="734"/>
      <c r="Z14" s="736">
        <f>2+80+123</f>
        <v>205</v>
      </c>
      <c r="AA14" s="736"/>
      <c r="AB14" s="736"/>
      <c r="AC14" s="736"/>
      <c r="AD14" s="736"/>
      <c r="AE14" s="736">
        <v>0</v>
      </c>
      <c r="AF14" s="736"/>
      <c r="AG14" s="736"/>
      <c r="AH14" s="736"/>
      <c r="AI14" s="736"/>
      <c r="AJ14" s="736">
        <v>0</v>
      </c>
      <c r="AK14" s="736"/>
      <c r="AL14" s="736"/>
      <c r="AM14" s="736"/>
      <c r="AN14" s="736"/>
      <c r="AO14" s="736">
        <v>1</v>
      </c>
      <c r="AP14" s="736"/>
      <c r="AQ14" s="736"/>
      <c r="AR14" s="736"/>
      <c r="AS14" s="736"/>
      <c r="AT14" s="736">
        <v>100</v>
      </c>
      <c r="AU14" s="736"/>
      <c r="AV14" s="736"/>
      <c r="AW14" s="736"/>
      <c r="AX14" s="736"/>
      <c r="AY14" s="736">
        <v>1</v>
      </c>
      <c r="AZ14" s="736"/>
      <c r="BA14" s="736"/>
      <c r="BB14" s="736"/>
      <c r="BC14" s="736"/>
      <c r="BD14" s="736">
        <v>154</v>
      </c>
      <c r="BE14" s="736"/>
      <c r="BF14" s="736"/>
      <c r="BG14" s="736"/>
      <c r="BH14" s="736"/>
      <c r="BI14" s="736">
        <v>1</v>
      </c>
      <c r="BJ14" s="736"/>
      <c r="BK14" s="736"/>
      <c r="BL14" s="736"/>
      <c r="BM14" s="736"/>
      <c r="BN14" s="734">
        <v>229</v>
      </c>
      <c r="BO14" s="734"/>
      <c r="BP14" s="734"/>
      <c r="BQ14" s="734"/>
      <c r="BR14" s="734"/>
      <c r="BS14" s="734">
        <v>2</v>
      </c>
      <c r="BT14" s="734"/>
      <c r="BU14" s="734"/>
      <c r="BV14" s="734"/>
      <c r="BW14" s="734"/>
      <c r="BX14" s="734">
        <v>620</v>
      </c>
      <c r="BY14" s="734"/>
      <c r="BZ14" s="734"/>
      <c r="CA14" s="734"/>
      <c r="CB14" s="734"/>
      <c r="CC14" s="737">
        <v>0</v>
      </c>
      <c r="CD14" s="737"/>
      <c r="CE14" s="737"/>
      <c r="CF14" s="737"/>
      <c r="CG14" s="737"/>
      <c r="CH14" s="737">
        <v>0</v>
      </c>
      <c r="CI14" s="737"/>
      <c r="CJ14" s="737"/>
      <c r="CK14" s="737"/>
      <c r="CL14" s="737"/>
      <c r="CM14" s="737">
        <v>1</v>
      </c>
      <c r="CN14" s="737"/>
      <c r="CO14" s="737"/>
      <c r="CP14" s="737"/>
      <c r="CQ14" s="737"/>
      <c r="CR14" s="737">
        <v>583</v>
      </c>
      <c r="CS14" s="737"/>
      <c r="CT14" s="737"/>
      <c r="CU14" s="737"/>
      <c r="CV14" s="737"/>
      <c r="CW14" s="737">
        <v>0</v>
      </c>
      <c r="CX14" s="737"/>
      <c r="CY14" s="737"/>
      <c r="CZ14" s="737"/>
      <c r="DA14" s="737"/>
      <c r="DB14" s="737">
        <v>0</v>
      </c>
      <c r="DC14" s="737"/>
      <c r="DD14" s="737"/>
      <c r="DE14" s="737"/>
      <c r="DF14" s="737"/>
      <c r="DG14" s="737">
        <f>1+1</f>
        <v>2</v>
      </c>
      <c r="DH14" s="737"/>
      <c r="DI14" s="737"/>
      <c r="DJ14" s="737"/>
      <c r="DK14" s="737"/>
      <c r="DL14" s="737">
        <f>1774+2302</f>
        <v>4076</v>
      </c>
      <c r="DM14" s="737"/>
      <c r="DN14" s="737"/>
      <c r="DO14" s="737"/>
      <c r="DP14" s="738"/>
    </row>
    <row r="15" spans="1:120" ht="21.75" customHeight="1">
      <c r="A15" s="459" t="s">
        <v>302</v>
      </c>
      <c r="B15" s="118"/>
      <c r="C15" s="118"/>
      <c r="D15" s="118"/>
      <c r="E15" s="118"/>
      <c r="F15" s="736">
        <v>104</v>
      </c>
      <c r="G15" s="736"/>
      <c r="H15" s="736"/>
      <c r="I15" s="736"/>
      <c r="J15" s="736"/>
      <c r="K15" s="734">
        <f>U15+AE15+AO15+AY15+BI15+BS15+CC15+CM15+CW15+DG15</f>
        <v>93</v>
      </c>
      <c r="L15" s="734"/>
      <c r="M15" s="734"/>
      <c r="N15" s="734"/>
      <c r="O15" s="734"/>
      <c r="P15" s="734">
        <f>Z15+AJ15+AT15+BD15+BN15+BX15+CH15+CR15+DB15+DL15</f>
        <v>15850</v>
      </c>
      <c r="Q15" s="734"/>
      <c r="R15" s="734"/>
      <c r="S15" s="734"/>
      <c r="T15" s="734"/>
      <c r="U15" s="734">
        <f>1+13+15</f>
        <v>29</v>
      </c>
      <c r="V15" s="734"/>
      <c r="W15" s="734"/>
      <c r="X15" s="734"/>
      <c r="Y15" s="734"/>
      <c r="Z15" s="736">
        <f>5+244+521</f>
        <v>770</v>
      </c>
      <c r="AA15" s="736"/>
      <c r="AB15" s="736"/>
      <c r="AC15" s="736"/>
      <c r="AD15" s="736"/>
      <c r="AE15" s="736">
        <v>18</v>
      </c>
      <c r="AF15" s="736"/>
      <c r="AG15" s="736"/>
      <c r="AH15" s="736"/>
      <c r="AI15" s="736"/>
      <c r="AJ15" s="736">
        <v>1319</v>
      </c>
      <c r="AK15" s="736"/>
      <c r="AL15" s="736"/>
      <c r="AM15" s="736"/>
      <c r="AN15" s="736"/>
      <c r="AO15" s="736">
        <v>16</v>
      </c>
      <c r="AP15" s="736"/>
      <c r="AQ15" s="736"/>
      <c r="AR15" s="736"/>
      <c r="AS15" s="736"/>
      <c r="AT15" s="736">
        <v>1887</v>
      </c>
      <c r="AU15" s="736"/>
      <c r="AV15" s="736"/>
      <c r="AW15" s="736"/>
      <c r="AX15" s="736"/>
      <c r="AY15" s="736">
        <v>8</v>
      </c>
      <c r="AZ15" s="736"/>
      <c r="BA15" s="736"/>
      <c r="BB15" s="736"/>
      <c r="BC15" s="736"/>
      <c r="BD15" s="736">
        <v>1361</v>
      </c>
      <c r="BE15" s="736"/>
      <c r="BF15" s="736"/>
      <c r="BG15" s="736"/>
      <c r="BH15" s="736"/>
      <c r="BI15" s="736">
        <v>7</v>
      </c>
      <c r="BJ15" s="736"/>
      <c r="BK15" s="736"/>
      <c r="BL15" s="736"/>
      <c r="BM15" s="736"/>
      <c r="BN15" s="734">
        <v>1715</v>
      </c>
      <c r="BO15" s="734"/>
      <c r="BP15" s="734"/>
      <c r="BQ15" s="734"/>
      <c r="BR15" s="734"/>
      <c r="BS15" s="734">
        <v>4</v>
      </c>
      <c r="BT15" s="734"/>
      <c r="BU15" s="734"/>
      <c r="BV15" s="734"/>
      <c r="BW15" s="734"/>
      <c r="BX15" s="734">
        <v>1385</v>
      </c>
      <c r="BY15" s="734"/>
      <c r="BZ15" s="734"/>
      <c r="CA15" s="734"/>
      <c r="CB15" s="734"/>
      <c r="CC15" s="734">
        <v>2</v>
      </c>
      <c r="CD15" s="734"/>
      <c r="CE15" s="734"/>
      <c r="CF15" s="734"/>
      <c r="CG15" s="734"/>
      <c r="CH15" s="734">
        <v>815</v>
      </c>
      <c r="CI15" s="734"/>
      <c r="CJ15" s="734"/>
      <c r="CK15" s="734"/>
      <c r="CL15" s="734"/>
      <c r="CM15" s="734">
        <v>8</v>
      </c>
      <c r="CN15" s="734"/>
      <c r="CO15" s="734"/>
      <c r="CP15" s="734"/>
      <c r="CQ15" s="734"/>
      <c r="CR15" s="734">
        <v>5098</v>
      </c>
      <c r="CS15" s="734"/>
      <c r="CT15" s="734"/>
      <c r="CU15" s="734"/>
      <c r="CV15" s="734"/>
      <c r="CW15" s="734">
        <v>0</v>
      </c>
      <c r="CX15" s="734"/>
      <c r="CY15" s="734"/>
      <c r="CZ15" s="734"/>
      <c r="DA15" s="734"/>
      <c r="DB15" s="734">
        <v>0</v>
      </c>
      <c r="DC15" s="734"/>
      <c r="DD15" s="734"/>
      <c r="DE15" s="734"/>
      <c r="DF15" s="734"/>
      <c r="DG15" s="737">
        <v>1</v>
      </c>
      <c r="DH15" s="737"/>
      <c r="DI15" s="737"/>
      <c r="DJ15" s="737"/>
      <c r="DK15" s="737"/>
      <c r="DL15" s="737">
        <v>1500</v>
      </c>
      <c r="DM15" s="737"/>
      <c r="DN15" s="737"/>
      <c r="DO15" s="737"/>
      <c r="DP15" s="738"/>
    </row>
    <row r="16" spans="1:120" s="60" customFormat="1" ht="21.75" customHeight="1">
      <c r="A16" s="553" t="s">
        <v>303</v>
      </c>
      <c r="B16" s="727"/>
      <c r="C16" s="727"/>
      <c r="D16" s="727"/>
      <c r="E16" s="727"/>
      <c r="F16" s="734">
        <v>262</v>
      </c>
      <c r="G16" s="734"/>
      <c r="H16" s="734"/>
      <c r="I16" s="734"/>
      <c r="J16" s="734"/>
      <c r="K16" s="734">
        <f>U16+AE16+AO16+AY16+BI16+BS16+CC16+CM16+CW16+DG16</f>
        <v>204</v>
      </c>
      <c r="L16" s="734"/>
      <c r="M16" s="734"/>
      <c r="N16" s="734"/>
      <c r="O16" s="734"/>
      <c r="P16" s="734">
        <f t="shared" si="1"/>
        <v>54800</v>
      </c>
      <c r="Q16" s="734"/>
      <c r="R16" s="734"/>
      <c r="S16" s="734"/>
      <c r="T16" s="734"/>
      <c r="U16" s="734">
        <f>15+29+20</f>
        <v>64</v>
      </c>
      <c r="V16" s="734"/>
      <c r="W16" s="734"/>
      <c r="X16" s="734"/>
      <c r="Y16" s="734"/>
      <c r="Z16" s="734">
        <f>62+499+736</f>
        <v>1297</v>
      </c>
      <c r="AA16" s="734"/>
      <c r="AB16" s="734"/>
      <c r="AC16" s="734"/>
      <c r="AD16" s="734"/>
      <c r="AE16" s="734">
        <v>35</v>
      </c>
      <c r="AF16" s="734"/>
      <c r="AG16" s="734"/>
      <c r="AH16" s="734"/>
      <c r="AI16" s="734"/>
      <c r="AJ16" s="734">
        <v>2516</v>
      </c>
      <c r="AK16" s="734"/>
      <c r="AL16" s="734"/>
      <c r="AM16" s="734"/>
      <c r="AN16" s="734"/>
      <c r="AO16" s="734">
        <v>23</v>
      </c>
      <c r="AP16" s="734"/>
      <c r="AQ16" s="734"/>
      <c r="AR16" s="734"/>
      <c r="AS16" s="734"/>
      <c r="AT16" s="734">
        <v>2804</v>
      </c>
      <c r="AU16" s="734"/>
      <c r="AV16" s="734"/>
      <c r="AW16" s="734"/>
      <c r="AX16" s="734"/>
      <c r="AY16" s="734">
        <v>16</v>
      </c>
      <c r="AZ16" s="734"/>
      <c r="BA16" s="734"/>
      <c r="BB16" s="734"/>
      <c r="BC16" s="734"/>
      <c r="BD16" s="734">
        <v>2643</v>
      </c>
      <c r="BE16" s="734"/>
      <c r="BF16" s="734"/>
      <c r="BG16" s="734"/>
      <c r="BH16" s="734"/>
      <c r="BI16" s="734">
        <v>21</v>
      </c>
      <c r="BJ16" s="734"/>
      <c r="BK16" s="734"/>
      <c r="BL16" s="734"/>
      <c r="BM16" s="734"/>
      <c r="BN16" s="734">
        <v>4889</v>
      </c>
      <c r="BO16" s="734"/>
      <c r="BP16" s="734"/>
      <c r="BQ16" s="734"/>
      <c r="BR16" s="734"/>
      <c r="BS16" s="734">
        <v>6</v>
      </c>
      <c r="BT16" s="734"/>
      <c r="BU16" s="734"/>
      <c r="BV16" s="734"/>
      <c r="BW16" s="734"/>
      <c r="BX16" s="734">
        <v>2083</v>
      </c>
      <c r="BY16" s="734"/>
      <c r="BZ16" s="734"/>
      <c r="CA16" s="734"/>
      <c r="CB16" s="734"/>
      <c r="CC16" s="734">
        <v>8</v>
      </c>
      <c r="CD16" s="734"/>
      <c r="CE16" s="734"/>
      <c r="CF16" s="734"/>
      <c r="CG16" s="734"/>
      <c r="CH16" s="734">
        <v>3454</v>
      </c>
      <c r="CI16" s="734"/>
      <c r="CJ16" s="734"/>
      <c r="CK16" s="734"/>
      <c r="CL16" s="734"/>
      <c r="CM16" s="734">
        <v>15</v>
      </c>
      <c r="CN16" s="734"/>
      <c r="CO16" s="734"/>
      <c r="CP16" s="734"/>
      <c r="CQ16" s="734"/>
      <c r="CR16" s="734">
        <v>10576</v>
      </c>
      <c r="CS16" s="734"/>
      <c r="CT16" s="734"/>
      <c r="CU16" s="734"/>
      <c r="CV16" s="734"/>
      <c r="CW16" s="734">
        <v>9</v>
      </c>
      <c r="CX16" s="734"/>
      <c r="CY16" s="734"/>
      <c r="CZ16" s="734"/>
      <c r="DA16" s="734"/>
      <c r="DB16" s="734">
        <v>10810</v>
      </c>
      <c r="DC16" s="734"/>
      <c r="DD16" s="734"/>
      <c r="DE16" s="734"/>
      <c r="DF16" s="734"/>
      <c r="DG16" s="734">
        <f>5+2</f>
        <v>7</v>
      </c>
      <c r="DH16" s="734"/>
      <c r="DI16" s="734"/>
      <c r="DJ16" s="734"/>
      <c r="DK16" s="734"/>
      <c r="DL16" s="734">
        <f>9220+4508</f>
        <v>13728</v>
      </c>
      <c r="DM16" s="734"/>
      <c r="DN16" s="734"/>
      <c r="DO16" s="734"/>
      <c r="DP16" s="735"/>
    </row>
    <row r="17" spans="1:120" ht="21.75" customHeight="1">
      <c r="A17" s="459" t="s">
        <v>96</v>
      </c>
      <c r="B17" s="118"/>
      <c r="C17" s="118"/>
      <c r="D17" s="118"/>
      <c r="E17" s="118"/>
      <c r="F17" s="736">
        <v>106</v>
      </c>
      <c r="G17" s="736"/>
      <c r="H17" s="736"/>
      <c r="I17" s="736"/>
      <c r="J17" s="736"/>
      <c r="K17" s="734">
        <f t="shared" si="0"/>
        <v>141</v>
      </c>
      <c r="L17" s="734"/>
      <c r="M17" s="734"/>
      <c r="N17" s="734"/>
      <c r="O17" s="734"/>
      <c r="P17" s="734">
        <f t="shared" si="1"/>
        <v>32834</v>
      </c>
      <c r="Q17" s="734"/>
      <c r="R17" s="734"/>
      <c r="S17" s="734"/>
      <c r="T17" s="734"/>
      <c r="U17" s="734">
        <f>0+21+13</f>
        <v>34</v>
      </c>
      <c r="V17" s="734"/>
      <c r="W17" s="734"/>
      <c r="X17" s="734"/>
      <c r="Y17" s="734"/>
      <c r="Z17" s="736">
        <f>0+314+480</f>
        <v>794</v>
      </c>
      <c r="AA17" s="736"/>
      <c r="AB17" s="736"/>
      <c r="AC17" s="736"/>
      <c r="AD17" s="736"/>
      <c r="AE17" s="736">
        <v>25</v>
      </c>
      <c r="AF17" s="736"/>
      <c r="AG17" s="736"/>
      <c r="AH17" s="736"/>
      <c r="AI17" s="736"/>
      <c r="AJ17" s="736">
        <v>1869</v>
      </c>
      <c r="AK17" s="736"/>
      <c r="AL17" s="736"/>
      <c r="AM17" s="736"/>
      <c r="AN17" s="736"/>
      <c r="AO17" s="736">
        <v>18</v>
      </c>
      <c r="AP17" s="736"/>
      <c r="AQ17" s="736"/>
      <c r="AR17" s="736"/>
      <c r="AS17" s="736"/>
      <c r="AT17" s="736">
        <v>2202</v>
      </c>
      <c r="AU17" s="736"/>
      <c r="AV17" s="736"/>
      <c r="AW17" s="736"/>
      <c r="AX17" s="736"/>
      <c r="AY17" s="736">
        <v>16</v>
      </c>
      <c r="AZ17" s="736"/>
      <c r="BA17" s="736"/>
      <c r="BB17" s="736"/>
      <c r="BC17" s="736"/>
      <c r="BD17" s="736">
        <v>2723</v>
      </c>
      <c r="BE17" s="736"/>
      <c r="BF17" s="736"/>
      <c r="BG17" s="736"/>
      <c r="BH17" s="736"/>
      <c r="BI17" s="736">
        <v>13</v>
      </c>
      <c r="BJ17" s="736"/>
      <c r="BK17" s="736"/>
      <c r="BL17" s="736"/>
      <c r="BM17" s="736"/>
      <c r="BN17" s="734">
        <v>2994</v>
      </c>
      <c r="BO17" s="734"/>
      <c r="BP17" s="734"/>
      <c r="BQ17" s="734"/>
      <c r="BR17" s="734"/>
      <c r="BS17" s="734">
        <v>8</v>
      </c>
      <c r="BT17" s="734"/>
      <c r="BU17" s="734"/>
      <c r="BV17" s="734"/>
      <c r="BW17" s="734"/>
      <c r="BX17" s="734">
        <v>2774</v>
      </c>
      <c r="BY17" s="734"/>
      <c r="BZ17" s="734"/>
      <c r="CA17" s="734"/>
      <c r="CB17" s="734"/>
      <c r="CC17" s="734">
        <v>11</v>
      </c>
      <c r="CD17" s="734"/>
      <c r="CE17" s="734"/>
      <c r="CF17" s="734"/>
      <c r="CG17" s="734"/>
      <c r="CH17" s="734">
        <v>4976</v>
      </c>
      <c r="CI17" s="734"/>
      <c r="CJ17" s="734"/>
      <c r="CK17" s="734"/>
      <c r="CL17" s="734"/>
      <c r="CM17" s="734">
        <v>11</v>
      </c>
      <c r="CN17" s="734"/>
      <c r="CO17" s="734"/>
      <c r="CP17" s="734"/>
      <c r="CQ17" s="734"/>
      <c r="CR17" s="734">
        <v>7154</v>
      </c>
      <c r="CS17" s="734"/>
      <c r="CT17" s="734"/>
      <c r="CU17" s="734"/>
      <c r="CV17" s="734"/>
      <c r="CW17" s="734">
        <v>3</v>
      </c>
      <c r="CX17" s="734"/>
      <c r="CY17" s="734"/>
      <c r="CZ17" s="734"/>
      <c r="DA17" s="734"/>
      <c r="DB17" s="734">
        <v>3785</v>
      </c>
      <c r="DC17" s="734"/>
      <c r="DD17" s="734"/>
      <c r="DE17" s="734"/>
      <c r="DF17" s="734"/>
      <c r="DG17" s="734">
        <v>2</v>
      </c>
      <c r="DH17" s="734"/>
      <c r="DI17" s="734"/>
      <c r="DJ17" s="734"/>
      <c r="DK17" s="734"/>
      <c r="DL17" s="734">
        <v>3563</v>
      </c>
      <c r="DM17" s="734"/>
      <c r="DN17" s="734"/>
      <c r="DO17" s="734"/>
      <c r="DP17" s="735"/>
    </row>
    <row r="18" spans="1:120" ht="21.75" customHeight="1" thickBot="1">
      <c r="A18" s="740" t="s">
        <v>97</v>
      </c>
      <c r="B18" s="741"/>
      <c r="C18" s="741"/>
      <c r="D18" s="741"/>
      <c r="E18" s="741"/>
      <c r="F18" s="742">
        <v>194</v>
      </c>
      <c r="G18" s="742"/>
      <c r="H18" s="742"/>
      <c r="I18" s="742"/>
      <c r="J18" s="742"/>
      <c r="K18" s="743">
        <f t="shared" si="0"/>
        <v>122</v>
      </c>
      <c r="L18" s="743"/>
      <c r="M18" s="743"/>
      <c r="N18" s="743"/>
      <c r="O18" s="743"/>
      <c r="P18" s="743">
        <f t="shared" si="1"/>
        <v>36237</v>
      </c>
      <c r="Q18" s="743"/>
      <c r="R18" s="743"/>
      <c r="S18" s="743"/>
      <c r="T18" s="743"/>
      <c r="U18" s="743">
        <f>12+11+9</f>
        <v>32</v>
      </c>
      <c r="V18" s="743"/>
      <c r="W18" s="743"/>
      <c r="X18" s="743"/>
      <c r="Y18" s="743"/>
      <c r="Z18" s="742">
        <f>61+188+321</f>
        <v>570</v>
      </c>
      <c r="AA18" s="742"/>
      <c r="AB18" s="742"/>
      <c r="AC18" s="742"/>
      <c r="AD18" s="742"/>
      <c r="AE18" s="742">
        <v>15</v>
      </c>
      <c r="AF18" s="742"/>
      <c r="AG18" s="742"/>
      <c r="AH18" s="742"/>
      <c r="AI18" s="742"/>
      <c r="AJ18" s="742">
        <v>1030</v>
      </c>
      <c r="AK18" s="742"/>
      <c r="AL18" s="742"/>
      <c r="AM18" s="742"/>
      <c r="AN18" s="742"/>
      <c r="AO18" s="742">
        <v>12</v>
      </c>
      <c r="AP18" s="742"/>
      <c r="AQ18" s="742"/>
      <c r="AR18" s="742"/>
      <c r="AS18" s="742"/>
      <c r="AT18" s="742">
        <v>1462</v>
      </c>
      <c r="AU18" s="742"/>
      <c r="AV18" s="742"/>
      <c r="AW18" s="742"/>
      <c r="AX18" s="742"/>
      <c r="AY18" s="742">
        <v>15</v>
      </c>
      <c r="AZ18" s="742"/>
      <c r="BA18" s="742"/>
      <c r="BB18" s="742"/>
      <c r="BC18" s="742"/>
      <c r="BD18" s="742">
        <v>2642</v>
      </c>
      <c r="BE18" s="742"/>
      <c r="BF18" s="742"/>
      <c r="BG18" s="742"/>
      <c r="BH18" s="742"/>
      <c r="BI18" s="742">
        <v>12</v>
      </c>
      <c r="BJ18" s="742"/>
      <c r="BK18" s="742"/>
      <c r="BL18" s="742"/>
      <c r="BM18" s="742"/>
      <c r="BN18" s="743">
        <v>2878</v>
      </c>
      <c r="BO18" s="743"/>
      <c r="BP18" s="743"/>
      <c r="BQ18" s="743"/>
      <c r="BR18" s="743"/>
      <c r="BS18" s="743">
        <v>9</v>
      </c>
      <c r="BT18" s="743"/>
      <c r="BU18" s="743"/>
      <c r="BV18" s="743"/>
      <c r="BW18" s="743"/>
      <c r="BX18" s="743">
        <v>3112</v>
      </c>
      <c r="BY18" s="743"/>
      <c r="BZ18" s="743"/>
      <c r="CA18" s="743"/>
      <c r="CB18" s="743"/>
      <c r="CC18" s="743">
        <v>4</v>
      </c>
      <c r="CD18" s="743"/>
      <c r="CE18" s="743"/>
      <c r="CF18" s="743"/>
      <c r="CG18" s="743"/>
      <c r="CH18" s="743">
        <v>1868</v>
      </c>
      <c r="CI18" s="743"/>
      <c r="CJ18" s="743"/>
      <c r="CK18" s="743"/>
      <c r="CL18" s="743"/>
      <c r="CM18" s="743">
        <v>14</v>
      </c>
      <c r="CN18" s="743"/>
      <c r="CO18" s="743"/>
      <c r="CP18" s="743"/>
      <c r="CQ18" s="743"/>
      <c r="CR18" s="743">
        <v>9771</v>
      </c>
      <c r="CS18" s="743"/>
      <c r="CT18" s="743"/>
      <c r="CU18" s="743"/>
      <c r="CV18" s="743"/>
      <c r="CW18" s="743">
        <v>5</v>
      </c>
      <c r="CX18" s="743"/>
      <c r="CY18" s="743"/>
      <c r="CZ18" s="743"/>
      <c r="DA18" s="743"/>
      <c r="DB18" s="743">
        <v>5520</v>
      </c>
      <c r="DC18" s="743"/>
      <c r="DD18" s="743"/>
      <c r="DE18" s="743"/>
      <c r="DF18" s="743"/>
      <c r="DG18" s="743">
        <f>2+2</f>
        <v>4</v>
      </c>
      <c r="DH18" s="743"/>
      <c r="DI18" s="743"/>
      <c r="DJ18" s="743"/>
      <c r="DK18" s="743"/>
      <c r="DL18" s="743">
        <f>3195+4189</f>
        <v>7384</v>
      </c>
      <c r="DM18" s="743"/>
      <c r="DN18" s="743"/>
      <c r="DO18" s="743"/>
      <c r="DP18" s="744"/>
    </row>
    <row r="19" ht="11.25" customHeight="1"/>
    <row r="20" ht="11.25" customHeight="1"/>
    <row r="21" ht="11.25" customHeight="1"/>
    <row r="22" ht="11.25" customHeight="1"/>
    <row r="23" ht="14.25" customHeight="1">
      <c r="A23" t="s">
        <v>304</v>
      </c>
    </row>
    <row r="24" ht="6.75" customHeight="1" thickBot="1"/>
    <row r="25" spans="1:120" ht="15" customHeight="1">
      <c r="A25" s="152" t="s">
        <v>34</v>
      </c>
      <c r="B25" s="136"/>
      <c r="C25" s="136"/>
      <c r="D25" s="136"/>
      <c r="E25" s="136"/>
      <c r="F25" s="136"/>
      <c r="G25" s="115" t="s">
        <v>305</v>
      </c>
      <c r="H25" s="136"/>
      <c r="I25" s="136"/>
      <c r="J25" s="136"/>
      <c r="K25" s="136"/>
      <c r="L25" s="136"/>
      <c r="M25" s="136" t="s">
        <v>19</v>
      </c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42" t="s">
        <v>306</v>
      </c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745"/>
    </row>
    <row r="26" spans="1:120" ht="13.5">
      <c r="A26" s="459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733" t="s">
        <v>307</v>
      </c>
      <c r="N26" s="727"/>
      <c r="O26" s="727"/>
      <c r="P26" s="727"/>
      <c r="Q26" s="727"/>
      <c r="R26" s="727"/>
      <c r="S26" s="733" t="s">
        <v>308</v>
      </c>
      <c r="T26" s="727"/>
      <c r="U26" s="727"/>
      <c r="V26" s="727"/>
      <c r="W26" s="727"/>
      <c r="X26" s="727"/>
      <c r="Y26" s="118" t="s">
        <v>309</v>
      </c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 t="s">
        <v>310</v>
      </c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 t="s">
        <v>311</v>
      </c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 t="s">
        <v>312</v>
      </c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727" t="s">
        <v>286</v>
      </c>
      <c r="BV26" s="727"/>
      <c r="BW26" s="727"/>
      <c r="BX26" s="727"/>
      <c r="BY26" s="727"/>
      <c r="BZ26" s="727"/>
      <c r="CA26" s="727"/>
      <c r="CB26" s="727"/>
      <c r="CC26" s="727"/>
      <c r="CD26" s="727"/>
      <c r="CE26" s="727"/>
      <c r="CF26" s="727"/>
      <c r="CG26" s="118" t="s">
        <v>287</v>
      </c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727" t="s">
        <v>288</v>
      </c>
      <c r="CT26" s="727"/>
      <c r="CU26" s="727"/>
      <c r="CV26" s="727"/>
      <c r="CW26" s="727"/>
      <c r="CX26" s="727"/>
      <c r="CY26" s="727"/>
      <c r="CZ26" s="727"/>
      <c r="DA26" s="727"/>
      <c r="DB26" s="727"/>
      <c r="DC26" s="727"/>
      <c r="DD26" s="727"/>
      <c r="DE26" s="727" t="s">
        <v>313</v>
      </c>
      <c r="DF26" s="727"/>
      <c r="DG26" s="727"/>
      <c r="DH26" s="727"/>
      <c r="DI26" s="727"/>
      <c r="DJ26" s="727"/>
      <c r="DK26" s="727"/>
      <c r="DL26" s="727"/>
      <c r="DM26" s="727"/>
      <c r="DN26" s="727"/>
      <c r="DO26" s="727"/>
      <c r="DP26" s="728"/>
    </row>
    <row r="27" spans="1:120" ht="39.75" customHeight="1">
      <c r="A27" s="459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727"/>
      <c r="X27" s="727"/>
      <c r="Y27" s="731" t="s">
        <v>294</v>
      </c>
      <c r="Z27" s="732"/>
      <c r="AA27" s="732"/>
      <c r="AB27" s="732"/>
      <c r="AC27" s="732"/>
      <c r="AD27" s="732"/>
      <c r="AE27" s="116" t="s">
        <v>295</v>
      </c>
      <c r="AF27" s="118"/>
      <c r="AG27" s="118"/>
      <c r="AH27" s="118"/>
      <c r="AI27" s="118"/>
      <c r="AJ27" s="118"/>
      <c r="AK27" s="731" t="s">
        <v>294</v>
      </c>
      <c r="AL27" s="732"/>
      <c r="AM27" s="732"/>
      <c r="AN27" s="732"/>
      <c r="AO27" s="732"/>
      <c r="AP27" s="732"/>
      <c r="AQ27" s="116" t="s">
        <v>295</v>
      </c>
      <c r="AR27" s="118"/>
      <c r="AS27" s="118"/>
      <c r="AT27" s="118"/>
      <c r="AU27" s="118"/>
      <c r="AV27" s="118"/>
      <c r="AW27" s="731" t="s">
        <v>294</v>
      </c>
      <c r="AX27" s="732"/>
      <c r="AY27" s="732"/>
      <c r="AZ27" s="732"/>
      <c r="BA27" s="732"/>
      <c r="BB27" s="732"/>
      <c r="BC27" s="116" t="s">
        <v>295</v>
      </c>
      <c r="BD27" s="118"/>
      <c r="BE27" s="118"/>
      <c r="BF27" s="118"/>
      <c r="BG27" s="118"/>
      <c r="BH27" s="118"/>
      <c r="BI27" s="731" t="s">
        <v>294</v>
      </c>
      <c r="BJ27" s="732"/>
      <c r="BK27" s="732"/>
      <c r="BL27" s="732"/>
      <c r="BM27" s="732"/>
      <c r="BN27" s="732"/>
      <c r="BO27" s="733" t="s">
        <v>295</v>
      </c>
      <c r="BP27" s="727"/>
      <c r="BQ27" s="727"/>
      <c r="BR27" s="727"/>
      <c r="BS27" s="727"/>
      <c r="BT27" s="727"/>
      <c r="BU27" s="729" t="s">
        <v>294</v>
      </c>
      <c r="BV27" s="730"/>
      <c r="BW27" s="730"/>
      <c r="BX27" s="730"/>
      <c r="BY27" s="730"/>
      <c r="BZ27" s="730"/>
      <c r="CA27" s="733" t="s">
        <v>295</v>
      </c>
      <c r="CB27" s="727"/>
      <c r="CC27" s="727"/>
      <c r="CD27" s="727"/>
      <c r="CE27" s="727"/>
      <c r="CF27" s="727"/>
      <c r="CG27" s="729" t="s">
        <v>294</v>
      </c>
      <c r="CH27" s="730"/>
      <c r="CI27" s="730"/>
      <c r="CJ27" s="730"/>
      <c r="CK27" s="730"/>
      <c r="CL27" s="730"/>
      <c r="CM27" s="733" t="s">
        <v>295</v>
      </c>
      <c r="CN27" s="727"/>
      <c r="CO27" s="727"/>
      <c r="CP27" s="727"/>
      <c r="CQ27" s="727"/>
      <c r="CR27" s="727"/>
      <c r="CS27" s="729" t="s">
        <v>294</v>
      </c>
      <c r="CT27" s="730"/>
      <c r="CU27" s="730"/>
      <c r="CV27" s="730"/>
      <c r="CW27" s="730"/>
      <c r="CX27" s="730"/>
      <c r="CY27" s="733" t="s">
        <v>295</v>
      </c>
      <c r="CZ27" s="727"/>
      <c r="DA27" s="727"/>
      <c r="DB27" s="727"/>
      <c r="DC27" s="727"/>
      <c r="DD27" s="727"/>
      <c r="DE27" s="729" t="s">
        <v>294</v>
      </c>
      <c r="DF27" s="730"/>
      <c r="DG27" s="730"/>
      <c r="DH27" s="730"/>
      <c r="DI27" s="730"/>
      <c r="DJ27" s="730"/>
      <c r="DK27" s="733" t="s">
        <v>295</v>
      </c>
      <c r="DL27" s="727"/>
      <c r="DM27" s="727"/>
      <c r="DN27" s="727"/>
      <c r="DO27" s="727"/>
      <c r="DP27" s="728"/>
    </row>
    <row r="28" spans="1:120" ht="21.75" customHeight="1">
      <c r="A28" s="459" t="s">
        <v>19</v>
      </c>
      <c r="B28" s="118"/>
      <c r="C28" s="118"/>
      <c r="D28" s="118"/>
      <c r="E28" s="118"/>
      <c r="F28" s="118"/>
      <c r="G28" s="713">
        <f>SUM(G29:L40)</f>
        <v>2002</v>
      </c>
      <c r="H28" s="713"/>
      <c r="I28" s="713"/>
      <c r="J28" s="713"/>
      <c r="K28" s="713"/>
      <c r="L28" s="713"/>
      <c r="M28" s="746">
        <f>SUM(M29:R40)</f>
        <v>519</v>
      </c>
      <c r="N28" s="746"/>
      <c r="O28" s="746"/>
      <c r="P28" s="746"/>
      <c r="Q28" s="746"/>
      <c r="R28" s="746"/>
      <c r="S28" s="746">
        <f>SUM(S29:X40)</f>
        <v>33978</v>
      </c>
      <c r="T28" s="746"/>
      <c r="U28" s="746"/>
      <c r="V28" s="746"/>
      <c r="W28" s="746"/>
      <c r="X28" s="746"/>
      <c r="Y28" s="713">
        <f>SUM(Y29:AD40)</f>
        <v>106</v>
      </c>
      <c r="Z28" s="713"/>
      <c r="AA28" s="713"/>
      <c r="AB28" s="713"/>
      <c r="AC28" s="713"/>
      <c r="AD28" s="713"/>
      <c r="AE28" s="713">
        <f>SUM(AE29:AJ40)</f>
        <v>495</v>
      </c>
      <c r="AF28" s="713"/>
      <c r="AG28" s="713"/>
      <c r="AH28" s="713"/>
      <c r="AI28" s="713"/>
      <c r="AJ28" s="713"/>
      <c r="AK28" s="713">
        <f>SUM(AK29:AP40)</f>
        <v>140</v>
      </c>
      <c r="AL28" s="713"/>
      <c r="AM28" s="713"/>
      <c r="AN28" s="713"/>
      <c r="AO28" s="713"/>
      <c r="AP28" s="713"/>
      <c r="AQ28" s="713">
        <f>SUM(AQ29:AV40)</f>
        <v>2468</v>
      </c>
      <c r="AR28" s="713"/>
      <c r="AS28" s="713"/>
      <c r="AT28" s="713"/>
      <c r="AU28" s="713"/>
      <c r="AV28" s="713"/>
      <c r="AW28" s="713">
        <f>SUM(AW29:BB40)</f>
        <v>74</v>
      </c>
      <c r="AX28" s="713"/>
      <c r="AY28" s="713"/>
      <c r="AZ28" s="713"/>
      <c r="BA28" s="713"/>
      <c r="BB28" s="713"/>
      <c r="BC28" s="713">
        <f>SUM(BC29:BH40)</f>
        <v>2711</v>
      </c>
      <c r="BD28" s="713"/>
      <c r="BE28" s="713"/>
      <c r="BF28" s="713"/>
      <c r="BG28" s="713"/>
      <c r="BH28" s="713"/>
      <c r="BI28" s="713">
        <f>SUM(BI29:BN40)</f>
        <v>78</v>
      </c>
      <c r="BJ28" s="713"/>
      <c r="BK28" s="713"/>
      <c r="BL28" s="713"/>
      <c r="BM28" s="713"/>
      <c r="BN28" s="713"/>
      <c r="BO28" s="746">
        <f>SUM(BO29:BT40)</f>
        <v>5605</v>
      </c>
      <c r="BP28" s="746"/>
      <c r="BQ28" s="746"/>
      <c r="BR28" s="746"/>
      <c r="BS28" s="746"/>
      <c r="BT28" s="746"/>
      <c r="BU28" s="746">
        <f>SUM(BU29:BZ40)</f>
        <v>54</v>
      </c>
      <c r="BV28" s="746"/>
      <c r="BW28" s="746"/>
      <c r="BX28" s="746"/>
      <c r="BY28" s="746"/>
      <c r="BZ28" s="746"/>
      <c r="CA28" s="746">
        <f>SUM(CA29:CF40)</f>
        <v>6246</v>
      </c>
      <c r="CB28" s="746"/>
      <c r="CC28" s="746"/>
      <c r="CD28" s="746"/>
      <c r="CE28" s="746"/>
      <c r="CF28" s="746"/>
      <c r="CG28" s="746">
        <f>SUM(CG29:CL40)</f>
        <v>23</v>
      </c>
      <c r="CH28" s="746"/>
      <c r="CI28" s="746"/>
      <c r="CJ28" s="746"/>
      <c r="CK28" s="746"/>
      <c r="CL28" s="746"/>
      <c r="CM28" s="746">
        <f>SUM(CM29:CR40)</f>
        <v>3995</v>
      </c>
      <c r="CN28" s="746"/>
      <c r="CO28" s="746"/>
      <c r="CP28" s="746"/>
      <c r="CQ28" s="746"/>
      <c r="CR28" s="746"/>
      <c r="CS28" s="746">
        <f>SUM(CS29:CX40)</f>
        <v>30</v>
      </c>
      <c r="CT28" s="746"/>
      <c r="CU28" s="746"/>
      <c r="CV28" s="746"/>
      <c r="CW28" s="746"/>
      <c r="CX28" s="746"/>
      <c r="CY28" s="746">
        <f>SUM(CY29:DD40)</f>
        <v>7113</v>
      </c>
      <c r="CZ28" s="746"/>
      <c r="DA28" s="746"/>
      <c r="DB28" s="746"/>
      <c r="DC28" s="746"/>
      <c r="DD28" s="746"/>
      <c r="DE28" s="746">
        <f>SUM(DE29:DJ40)</f>
        <v>14</v>
      </c>
      <c r="DF28" s="746"/>
      <c r="DG28" s="746"/>
      <c r="DH28" s="746"/>
      <c r="DI28" s="746"/>
      <c r="DJ28" s="746"/>
      <c r="DK28" s="746">
        <f>SUM(DK29:DP40)</f>
        <v>5345</v>
      </c>
      <c r="DL28" s="746"/>
      <c r="DM28" s="746"/>
      <c r="DN28" s="746"/>
      <c r="DO28" s="746"/>
      <c r="DP28" s="747"/>
    </row>
    <row r="29" spans="1:120" ht="21.75" customHeight="1">
      <c r="A29" s="459" t="s">
        <v>86</v>
      </c>
      <c r="B29" s="118"/>
      <c r="C29" s="118"/>
      <c r="D29" s="118"/>
      <c r="E29" s="118"/>
      <c r="F29" s="118"/>
      <c r="G29" s="713">
        <v>104</v>
      </c>
      <c r="H29" s="713"/>
      <c r="I29" s="713"/>
      <c r="J29" s="713"/>
      <c r="K29" s="713"/>
      <c r="L29" s="713"/>
      <c r="M29" s="746">
        <f>Y29+AK29+AW29+BI29+BU29+CG29+CS29+DE29</f>
        <v>48</v>
      </c>
      <c r="N29" s="746"/>
      <c r="O29" s="746"/>
      <c r="P29" s="746"/>
      <c r="Q29" s="746"/>
      <c r="R29" s="746"/>
      <c r="S29" s="746">
        <f>AE29+AQ29+BC29+BO29+CA29+CM29+CY29+DK29</f>
        <v>4529</v>
      </c>
      <c r="T29" s="746"/>
      <c r="U29" s="746"/>
      <c r="V29" s="746"/>
      <c r="W29" s="746"/>
      <c r="X29" s="746"/>
      <c r="Y29" s="713">
        <v>5</v>
      </c>
      <c r="Z29" s="713"/>
      <c r="AA29" s="713"/>
      <c r="AB29" s="713"/>
      <c r="AC29" s="713"/>
      <c r="AD29" s="713"/>
      <c r="AE29" s="713">
        <v>30</v>
      </c>
      <c r="AF29" s="713"/>
      <c r="AG29" s="713"/>
      <c r="AH29" s="713"/>
      <c r="AI29" s="713"/>
      <c r="AJ29" s="713"/>
      <c r="AK29" s="713">
        <v>6</v>
      </c>
      <c r="AL29" s="713"/>
      <c r="AM29" s="713"/>
      <c r="AN29" s="713"/>
      <c r="AO29" s="713"/>
      <c r="AP29" s="713"/>
      <c r="AQ29" s="713">
        <v>97</v>
      </c>
      <c r="AR29" s="713"/>
      <c r="AS29" s="713"/>
      <c r="AT29" s="713"/>
      <c r="AU29" s="713"/>
      <c r="AV29" s="713"/>
      <c r="AW29" s="713">
        <v>8</v>
      </c>
      <c r="AX29" s="713"/>
      <c r="AY29" s="713"/>
      <c r="AZ29" s="713"/>
      <c r="BA29" s="713"/>
      <c r="BB29" s="713"/>
      <c r="BC29" s="713">
        <v>309</v>
      </c>
      <c r="BD29" s="713"/>
      <c r="BE29" s="713"/>
      <c r="BF29" s="713"/>
      <c r="BG29" s="713"/>
      <c r="BH29" s="713"/>
      <c r="BI29" s="713">
        <v>10</v>
      </c>
      <c r="BJ29" s="713"/>
      <c r="BK29" s="713"/>
      <c r="BL29" s="713"/>
      <c r="BM29" s="713"/>
      <c r="BN29" s="713"/>
      <c r="BO29" s="746">
        <v>764</v>
      </c>
      <c r="BP29" s="746"/>
      <c r="BQ29" s="746"/>
      <c r="BR29" s="746"/>
      <c r="BS29" s="746"/>
      <c r="BT29" s="746"/>
      <c r="BU29" s="746">
        <v>8</v>
      </c>
      <c r="BV29" s="746"/>
      <c r="BW29" s="746"/>
      <c r="BX29" s="746"/>
      <c r="BY29" s="746"/>
      <c r="BZ29" s="746"/>
      <c r="CA29" s="746">
        <v>967</v>
      </c>
      <c r="CB29" s="746"/>
      <c r="CC29" s="746"/>
      <c r="CD29" s="746"/>
      <c r="CE29" s="746"/>
      <c r="CF29" s="746"/>
      <c r="CG29" s="746">
        <v>5</v>
      </c>
      <c r="CH29" s="746"/>
      <c r="CI29" s="746"/>
      <c r="CJ29" s="746"/>
      <c r="CK29" s="746"/>
      <c r="CL29" s="746"/>
      <c r="CM29" s="746">
        <v>847</v>
      </c>
      <c r="CN29" s="746"/>
      <c r="CO29" s="746"/>
      <c r="CP29" s="746"/>
      <c r="CQ29" s="746"/>
      <c r="CR29" s="746"/>
      <c r="CS29" s="746">
        <v>5</v>
      </c>
      <c r="CT29" s="746"/>
      <c r="CU29" s="746"/>
      <c r="CV29" s="746"/>
      <c r="CW29" s="746"/>
      <c r="CX29" s="746"/>
      <c r="CY29" s="746">
        <v>1168</v>
      </c>
      <c r="CZ29" s="746"/>
      <c r="DA29" s="746"/>
      <c r="DB29" s="746"/>
      <c r="DC29" s="746"/>
      <c r="DD29" s="746"/>
      <c r="DE29" s="746">
        <v>1</v>
      </c>
      <c r="DF29" s="746"/>
      <c r="DG29" s="746"/>
      <c r="DH29" s="746"/>
      <c r="DI29" s="746"/>
      <c r="DJ29" s="746"/>
      <c r="DK29" s="746">
        <v>347</v>
      </c>
      <c r="DL29" s="746"/>
      <c r="DM29" s="746"/>
      <c r="DN29" s="746"/>
      <c r="DO29" s="746"/>
      <c r="DP29" s="747"/>
    </row>
    <row r="30" spans="1:120" ht="21.75" customHeight="1">
      <c r="A30" s="459" t="s">
        <v>87</v>
      </c>
      <c r="B30" s="118"/>
      <c r="C30" s="118"/>
      <c r="D30" s="118"/>
      <c r="E30" s="118"/>
      <c r="F30" s="118"/>
      <c r="G30" s="713">
        <v>126</v>
      </c>
      <c r="H30" s="713"/>
      <c r="I30" s="713"/>
      <c r="J30" s="713"/>
      <c r="K30" s="713"/>
      <c r="L30" s="713"/>
      <c r="M30" s="746">
        <f>Y30+AK30+AW30+BI30+BU30+CG30+CS30+DE30</f>
        <v>34</v>
      </c>
      <c r="N30" s="746"/>
      <c r="O30" s="746"/>
      <c r="P30" s="746"/>
      <c r="Q30" s="746"/>
      <c r="R30" s="746"/>
      <c r="S30" s="746">
        <f>AE30+AQ30+BC30+BO30+CA30+CM30+CY30+DK30</f>
        <v>1983</v>
      </c>
      <c r="T30" s="746"/>
      <c r="U30" s="746"/>
      <c r="V30" s="746"/>
      <c r="W30" s="746"/>
      <c r="X30" s="746"/>
      <c r="Y30" s="713">
        <v>8</v>
      </c>
      <c r="Z30" s="713"/>
      <c r="AA30" s="713"/>
      <c r="AB30" s="713"/>
      <c r="AC30" s="713"/>
      <c r="AD30" s="713"/>
      <c r="AE30" s="713">
        <v>42</v>
      </c>
      <c r="AF30" s="713"/>
      <c r="AG30" s="713"/>
      <c r="AH30" s="713"/>
      <c r="AI30" s="713"/>
      <c r="AJ30" s="713"/>
      <c r="AK30" s="713">
        <v>4</v>
      </c>
      <c r="AL30" s="713"/>
      <c r="AM30" s="713"/>
      <c r="AN30" s="713"/>
      <c r="AO30" s="713"/>
      <c r="AP30" s="713"/>
      <c r="AQ30" s="713">
        <v>73</v>
      </c>
      <c r="AR30" s="713"/>
      <c r="AS30" s="713"/>
      <c r="AT30" s="713"/>
      <c r="AU30" s="713"/>
      <c r="AV30" s="713"/>
      <c r="AW30" s="713">
        <v>2</v>
      </c>
      <c r="AX30" s="713"/>
      <c r="AY30" s="713"/>
      <c r="AZ30" s="713"/>
      <c r="BA30" s="713"/>
      <c r="BB30" s="713"/>
      <c r="BC30" s="713">
        <v>80</v>
      </c>
      <c r="BD30" s="713"/>
      <c r="BE30" s="713"/>
      <c r="BF30" s="713"/>
      <c r="BG30" s="713"/>
      <c r="BH30" s="713"/>
      <c r="BI30" s="713">
        <v>14</v>
      </c>
      <c r="BJ30" s="713"/>
      <c r="BK30" s="713"/>
      <c r="BL30" s="713"/>
      <c r="BM30" s="713"/>
      <c r="BN30" s="713"/>
      <c r="BO30" s="746">
        <v>1053</v>
      </c>
      <c r="BP30" s="746"/>
      <c r="BQ30" s="746"/>
      <c r="BR30" s="746"/>
      <c r="BS30" s="746"/>
      <c r="BT30" s="746"/>
      <c r="BU30" s="746">
        <v>6</v>
      </c>
      <c r="BV30" s="746"/>
      <c r="BW30" s="746"/>
      <c r="BX30" s="746"/>
      <c r="BY30" s="746"/>
      <c r="BZ30" s="746"/>
      <c r="CA30" s="746">
        <v>735</v>
      </c>
      <c r="CB30" s="746"/>
      <c r="CC30" s="746"/>
      <c r="CD30" s="746"/>
      <c r="CE30" s="746"/>
      <c r="CF30" s="746"/>
      <c r="CG30" s="746">
        <v>0</v>
      </c>
      <c r="CH30" s="746"/>
      <c r="CI30" s="746"/>
      <c r="CJ30" s="746"/>
      <c r="CK30" s="746"/>
      <c r="CL30" s="746"/>
      <c r="CM30" s="746">
        <v>0</v>
      </c>
      <c r="CN30" s="746"/>
      <c r="CO30" s="746"/>
      <c r="CP30" s="746"/>
      <c r="CQ30" s="746"/>
      <c r="CR30" s="746"/>
      <c r="CS30" s="746">
        <v>0</v>
      </c>
      <c r="CT30" s="746"/>
      <c r="CU30" s="746"/>
      <c r="CV30" s="746"/>
      <c r="CW30" s="746"/>
      <c r="CX30" s="746"/>
      <c r="CY30" s="746">
        <v>0</v>
      </c>
      <c r="CZ30" s="746"/>
      <c r="DA30" s="746"/>
      <c r="DB30" s="746"/>
      <c r="DC30" s="746"/>
      <c r="DD30" s="746"/>
      <c r="DE30" s="746">
        <v>0</v>
      </c>
      <c r="DF30" s="746"/>
      <c r="DG30" s="746"/>
      <c r="DH30" s="746"/>
      <c r="DI30" s="746"/>
      <c r="DJ30" s="746"/>
      <c r="DK30" s="746">
        <v>0</v>
      </c>
      <c r="DL30" s="746"/>
      <c r="DM30" s="746"/>
      <c r="DN30" s="746"/>
      <c r="DO30" s="746"/>
      <c r="DP30" s="747"/>
    </row>
    <row r="31" spans="1:120" ht="21.75" customHeight="1">
      <c r="A31" s="459" t="s">
        <v>88</v>
      </c>
      <c r="B31" s="118"/>
      <c r="C31" s="118"/>
      <c r="D31" s="118"/>
      <c r="E31" s="118"/>
      <c r="F31" s="118"/>
      <c r="G31" s="713">
        <v>116</v>
      </c>
      <c r="H31" s="713"/>
      <c r="I31" s="713"/>
      <c r="J31" s="713"/>
      <c r="K31" s="713"/>
      <c r="L31" s="713"/>
      <c r="M31" s="746">
        <f aca="true" t="shared" si="2" ref="M31:M36">Y31+AK31+AW31+BI31+BU31+CG31+CS31+DE31</f>
        <v>26</v>
      </c>
      <c r="N31" s="746"/>
      <c r="O31" s="746"/>
      <c r="P31" s="746"/>
      <c r="Q31" s="746"/>
      <c r="R31" s="746"/>
      <c r="S31" s="746">
        <f aca="true" t="shared" si="3" ref="S31:S36">AE31+AQ31+BC31+BO31+CA31+CM31+CY31+DK31</f>
        <v>1455</v>
      </c>
      <c r="T31" s="746"/>
      <c r="U31" s="746"/>
      <c r="V31" s="746"/>
      <c r="W31" s="746"/>
      <c r="X31" s="746"/>
      <c r="Y31" s="713">
        <v>8</v>
      </c>
      <c r="Z31" s="713"/>
      <c r="AA31" s="713"/>
      <c r="AB31" s="713"/>
      <c r="AC31" s="713"/>
      <c r="AD31" s="713"/>
      <c r="AE31" s="713">
        <v>38</v>
      </c>
      <c r="AF31" s="713"/>
      <c r="AG31" s="713"/>
      <c r="AH31" s="713"/>
      <c r="AI31" s="713"/>
      <c r="AJ31" s="713"/>
      <c r="AK31" s="713">
        <v>4</v>
      </c>
      <c r="AL31" s="713"/>
      <c r="AM31" s="713"/>
      <c r="AN31" s="713"/>
      <c r="AO31" s="713"/>
      <c r="AP31" s="713"/>
      <c r="AQ31" s="713">
        <v>76</v>
      </c>
      <c r="AR31" s="713"/>
      <c r="AS31" s="713"/>
      <c r="AT31" s="713"/>
      <c r="AU31" s="713"/>
      <c r="AV31" s="713"/>
      <c r="AW31" s="713">
        <v>6</v>
      </c>
      <c r="AX31" s="713"/>
      <c r="AY31" s="713"/>
      <c r="AZ31" s="713"/>
      <c r="BA31" s="713"/>
      <c r="BB31" s="713"/>
      <c r="BC31" s="713">
        <v>216</v>
      </c>
      <c r="BD31" s="713"/>
      <c r="BE31" s="713"/>
      <c r="BF31" s="713"/>
      <c r="BG31" s="713"/>
      <c r="BH31" s="713"/>
      <c r="BI31" s="713">
        <v>4</v>
      </c>
      <c r="BJ31" s="713"/>
      <c r="BK31" s="713"/>
      <c r="BL31" s="713"/>
      <c r="BM31" s="713"/>
      <c r="BN31" s="713"/>
      <c r="BO31" s="746">
        <v>327</v>
      </c>
      <c r="BP31" s="746"/>
      <c r="BQ31" s="746"/>
      <c r="BR31" s="746"/>
      <c r="BS31" s="746"/>
      <c r="BT31" s="746"/>
      <c r="BU31" s="746">
        <v>1</v>
      </c>
      <c r="BV31" s="746"/>
      <c r="BW31" s="746"/>
      <c r="BX31" s="746"/>
      <c r="BY31" s="746"/>
      <c r="BZ31" s="746"/>
      <c r="CA31" s="746">
        <v>100</v>
      </c>
      <c r="CB31" s="746"/>
      <c r="CC31" s="746"/>
      <c r="CD31" s="746"/>
      <c r="CE31" s="746"/>
      <c r="CF31" s="746"/>
      <c r="CG31" s="746">
        <v>1</v>
      </c>
      <c r="CH31" s="746"/>
      <c r="CI31" s="746"/>
      <c r="CJ31" s="746"/>
      <c r="CK31" s="746"/>
      <c r="CL31" s="746"/>
      <c r="CM31" s="746">
        <v>188</v>
      </c>
      <c r="CN31" s="746"/>
      <c r="CO31" s="746"/>
      <c r="CP31" s="746"/>
      <c r="CQ31" s="746"/>
      <c r="CR31" s="746"/>
      <c r="CS31" s="746">
        <v>1</v>
      </c>
      <c r="CT31" s="746"/>
      <c r="CU31" s="746"/>
      <c r="CV31" s="746"/>
      <c r="CW31" s="746"/>
      <c r="CX31" s="746"/>
      <c r="CY31" s="746">
        <v>210</v>
      </c>
      <c r="CZ31" s="746"/>
      <c r="DA31" s="746"/>
      <c r="DB31" s="746"/>
      <c r="DC31" s="746"/>
      <c r="DD31" s="746"/>
      <c r="DE31" s="746">
        <v>1</v>
      </c>
      <c r="DF31" s="746"/>
      <c r="DG31" s="746"/>
      <c r="DH31" s="746"/>
      <c r="DI31" s="746"/>
      <c r="DJ31" s="746"/>
      <c r="DK31" s="746">
        <v>300</v>
      </c>
      <c r="DL31" s="746"/>
      <c r="DM31" s="746"/>
      <c r="DN31" s="746"/>
      <c r="DO31" s="746"/>
      <c r="DP31" s="747"/>
    </row>
    <row r="32" spans="1:120" ht="21.75" customHeight="1">
      <c r="A32" s="459" t="s">
        <v>89</v>
      </c>
      <c r="B32" s="118"/>
      <c r="C32" s="118"/>
      <c r="D32" s="118"/>
      <c r="E32" s="118"/>
      <c r="F32" s="118"/>
      <c r="G32" s="713">
        <v>37</v>
      </c>
      <c r="H32" s="713"/>
      <c r="I32" s="713"/>
      <c r="J32" s="713"/>
      <c r="K32" s="713"/>
      <c r="L32" s="713"/>
      <c r="M32" s="746">
        <f t="shared" si="2"/>
        <v>5</v>
      </c>
      <c r="N32" s="746"/>
      <c r="O32" s="746"/>
      <c r="P32" s="746"/>
      <c r="Q32" s="746"/>
      <c r="R32" s="746"/>
      <c r="S32" s="746">
        <f t="shared" si="3"/>
        <v>457</v>
      </c>
      <c r="T32" s="746"/>
      <c r="U32" s="746"/>
      <c r="V32" s="746"/>
      <c r="W32" s="746"/>
      <c r="X32" s="746"/>
      <c r="Y32" s="713">
        <v>0</v>
      </c>
      <c r="Z32" s="713"/>
      <c r="AA32" s="713"/>
      <c r="AB32" s="713"/>
      <c r="AC32" s="713"/>
      <c r="AD32" s="713"/>
      <c r="AE32" s="713">
        <v>0</v>
      </c>
      <c r="AF32" s="713"/>
      <c r="AG32" s="713"/>
      <c r="AH32" s="713"/>
      <c r="AI32" s="713"/>
      <c r="AJ32" s="713"/>
      <c r="AK32" s="713">
        <v>1</v>
      </c>
      <c r="AL32" s="713"/>
      <c r="AM32" s="713"/>
      <c r="AN32" s="713"/>
      <c r="AO32" s="713"/>
      <c r="AP32" s="713"/>
      <c r="AQ32" s="713">
        <v>26</v>
      </c>
      <c r="AR32" s="713"/>
      <c r="AS32" s="713"/>
      <c r="AT32" s="713"/>
      <c r="AU32" s="713"/>
      <c r="AV32" s="713"/>
      <c r="AW32" s="713">
        <v>0</v>
      </c>
      <c r="AX32" s="713"/>
      <c r="AY32" s="713"/>
      <c r="AZ32" s="713"/>
      <c r="BA32" s="713"/>
      <c r="BB32" s="713"/>
      <c r="BC32" s="713">
        <v>0</v>
      </c>
      <c r="BD32" s="713"/>
      <c r="BE32" s="713"/>
      <c r="BF32" s="713"/>
      <c r="BG32" s="713"/>
      <c r="BH32" s="713"/>
      <c r="BI32" s="713">
        <v>1</v>
      </c>
      <c r="BJ32" s="713"/>
      <c r="BK32" s="713"/>
      <c r="BL32" s="713"/>
      <c r="BM32" s="713"/>
      <c r="BN32" s="713"/>
      <c r="BO32" s="746">
        <v>80</v>
      </c>
      <c r="BP32" s="746"/>
      <c r="BQ32" s="746"/>
      <c r="BR32" s="746"/>
      <c r="BS32" s="746"/>
      <c r="BT32" s="746"/>
      <c r="BU32" s="746">
        <v>3</v>
      </c>
      <c r="BV32" s="746"/>
      <c r="BW32" s="746"/>
      <c r="BX32" s="746"/>
      <c r="BY32" s="746"/>
      <c r="BZ32" s="746"/>
      <c r="CA32" s="746">
        <v>351</v>
      </c>
      <c r="CB32" s="746"/>
      <c r="CC32" s="746"/>
      <c r="CD32" s="746"/>
      <c r="CE32" s="746"/>
      <c r="CF32" s="746"/>
      <c r="CG32" s="746">
        <v>0</v>
      </c>
      <c r="CH32" s="746"/>
      <c r="CI32" s="746"/>
      <c r="CJ32" s="746"/>
      <c r="CK32" s="746"/>
      <c r="CL32" s="746"/>
      <c r="CM32" s="746">
        <v>0</v>
      </c>
      <c r="CN32" s="746"/>
      <c r="CO32" s="746"/>
      <c r="CP32" s="746"/>
      <c r="CQ32" s="746"/>
      <c r="CR32" s="746"/>
      <c r="CS32" s="746">
        <v>0</v>
      </c>
      <c r="CT32" s="746"/>
      <c r="CU32" s="746"/>
      <c r="CV32" s="746"/>
      <c r="CW32" s="746"/>
      <c r="CX32" s="746"/>
      <c r="CY32" s="746">
        <v>0</v>
      </c>
      <c r="CZ32" s="746"/>
      <c r="DA32" s="746"/>
      <c r="DB32" s="746"/>
      <c r="DC32" s="746"/>
      <c r="DD32" s="746"/>
      <c r="DE32" s="746">
        <v>0</v>
      </c>
      <c r="DF32" s="746"/>
      <c r="DG32" s="746"/>
      <c r="DH32" s="746"/>
      <c r="DI32" s="746"/>
      <c r="DJ32" s="746"/>
      <c r="DK32" s="746">
        <v>0</v>
      </c>
      <c r="DL32" s="746"/>
      <c r="DM32" s="746"/>
      <c r="DN32" s="746"/>
      <c r="DO32" s="746"/>
      <c r="DP32" s="747"/>
    </row>
    <row r="33" spans="1:120" ht="21.75" customHeight="1">
      <c r="A33" s="459" t="s">
        <v>90</v>
      </c>
      <c r="B33" s="118"/>
      <c r="C33" s="118"/>
      <c r="D33" s="118"/>
      <c r="E33" s="118"/>
      <c r="F33" s="118"/>
      <c r="G33" s="713">
        <v>26</v>
      </c>
      <c r="H33" s="713"/>
      <c r="I33" s="713"/>
      <c r="J33" s="713"/>
      <c r="K33" s="713"/>
      <c r="L33" s="713"/>
      <c r="M33" s="746">
        <f t="shared" si="2"/>
        <v>7</v>
      </c>
      <c r="N33" s="746"/>
      <c r="O33" s="746"/>
      <c r="P33" s="746"/>
      <c r="Q33" s="746"/>
      <c r="R33" s="746"/>
      <c r="S33" s="746">
        <f t="shared" si="3"/>
        <v>173</v>
      </c>
      <c r="T33" s="746"/>
      <c r="U33" s="746"/>
      <c r="V33" s="746"/>
      <c r="W33" s="746"/>
      <c r="X33" s="746"/>
      <c r="Y33" s="713">
        <v>2</v>
      </c>
      <c r="Z33" s="713"/>
      <c r="AA33" s="713"/>
      <c r="AB33" s="713"/>
      <c r="AC33" s="713"/>
      <c r="AD33" s="713"/>
      <c r="AE33" s="713">
        <v>10</v>
      </c>
      <c r="AF33" s="713"/>
      <c r="AG33" s="713"/>
      <c r="AH33" s="713"/>
      <c r="AI33" s="713"/>
      <c r="AJ33" s="713"/>
      <c r="AK33" s="713">
        <v>1</v>
      </c>
      <c r="AL33" s="713"/>
      <c r="AM33" s="713"/>
      <c r="AN33" s="713"/>
      <c r="AO33" s="713"/>
      <c r="AP33" s="713"/>
      <c r="AQ33" s="713">
        <v>10</v>
      </c>
      <c r="AR33" s="713"/>
      <c r="AS33" s="713"/>
      <c r="AT33" s="713"/>
      <c r="AU33" s="713"/>
      <c r="AV33" s="713"/>
      <c r="AW33" s="713">
        <v>3</v>
      </c>
      <c r="AX33" s="713"/>
      <c r="AY33" s="713"/>
      <c r="AZ33" s="713"/>
      <c r="BA33" s="713"/>
      <c r="BB33" s="713"/>
      <c r="BC33" s="713">
        <v>94</v>
      </c>
      <c r="BD33" s="713"/>
      <c r="BE33" s="713"/>
      <c r="BF33" s="713"/>
      <c r="BG33" s="713"/>
      <c r="BH33" s="713"/>
      <c r="BI33" s="713">
        <v>1</v>
      </c>
      <c r="BJ33" s="713"/>
      <c r="BK33" s="713"/>
      <c r="BL33" s="713"/>
      <c r="BM33" s="713"/>
      <c r="BN33" s="713"/>
      <c r="BO33" s="746">
        <v>59</v>
      </c>
      <c r="BP33" s="746"/>
      <c r="BQ33" s="746"/>
      <c r="BR33" s="746"/>
      <c r="BS33" s="746"/>
      <c r="BT33" s="746"/>
      <c r="BU33" s="746">
        <v>0</v>
      </c>
      <c r="BV33" s="746"/>
      <c r="BW33" s="746"/>
      <c r="BX33" s="746"/>
      <c r="BY33" s="746"/>
      <c r="BZ33" s="746"/>
      <c r="CA33" s="746">
        <v>0</v>
      </c>
      <c r="CB33" s="746"/>
      <c r="CC33" s="746"/>
      <c r="CD33" s="746"/>
      <c r="CE33" s="746"/>
      <c r="CF33" s="746"/>
      <c r="CG33" s="746">
        <v>0</v>
      </c>
      <c r="CH33" s="746"/>
      <c r="CI33" s="746"/>
      <c r="CJ33" s="746"/>
      <c r="CK33" s="746"/>
      <c r="CL33" s="746"/>
      <c r="CM33" s="746">
        <v>0</v>
      </c>
      <c r="CN33" s="746"/>
      <c r="CO33" s="746"/>
      <c r="CP33" s="746"/>
      <c r="CQ33" s="746"/>
      <c r="CR33" s="746"/>
      <c r="CS33" s="746">
        <v>0</v>
      </c>
      <c r="CT33" s="746"/>
      <c r="CU33" s="746"/>
      <c r="CV33" s="746"/>
      <c r="CW33" s="746"/>
      <c r="CX33" s="746"/>
      <c r="CY33" s="746">
        <v>0</v>
      </c>
      <c r="CZ33" s="746"/>
      <c r="DA33" s="746"/>
      <c r="DB33" s="746"/>
      <c r="DC33" s="746"/>
      <c r="DD33" s="746"/>
      <c r="DE33" s="746">
        <v>0</v>
      </c>
      <c r="DF33" s="746"/>
      <c r="DG33" s="746"/>
      <c r="DH33" s="746"/>
      <c r="DI33" s="746"/>
      <c r="DJ33" s="746"/>
      <c r="DK33" s="746">
        <v>0</v>
      </c>
      <c r="DL33" s="746"/>
      <c r="DM33" s="746"/>
      <c r="DN33" s="746"/>
      <c r="DO33" s="746"/>
      <c r="DP33" s="747"/>
    </row>
    <row r="34" spans="1:120" ht="21.75" customHeight="1">
      <c r="A34" s="459" t="s">
        <v>91</v>
      </c>
      <c r="B34" s="118"/>
      <c r="C34" s="118"/>
      <c r="D34" s="118"/>
      <c r="E34" s="118"/>
      <c r="F34" s="118"/>
      <c r="G34" s="713">
        <v>364</v>
      </c>
      <c r="H34" s="713"/>
      <c r="I34" s="713"/>
      <c r="J34" s="713"/>
      <c r="K34" s="713"/>
      <c r="L34" s="713"/>
      <c r="M34" s="746">
        <f t="shared" si="2"/>
        <v>105</v>
      </c>
      <c r="N34" s="746"/>
      <c r="O34" s="746"/>
      <c r="P34" s="746"/>
      <c r="Q34" s="746"/>
      <c r="R34" s="746"/>
      <c r="S34" s="746">
        <f t="shared" si="3"/>
        <v>5122</v>
      </c>
      <c r="T34" s="746"/>
      <c r="U34" s="746"/>
      <c r="V34" s="746"/>
      <c r="W34" s="746"/>
      <c r="X34" s="746"/>
      <c r="Y34" s="713">
        <v>19</v>
      </c>
      <c r="Z34" s="713"/>
      <c r="AA34" s="713"/>
      <c r="AB34" s="713"/>
      <c r="AC34" s="713"/>
      <c r="AD34" s="713"/>
      <c r="AE34" s="713">
        <v>82</v>
      </c>
      <c r="AF34" s="713"/>
      <c r="AG34" s="713"/>
      <c r="AH34" s="713"/>
      <c r="AI34" s="713"/>
      <c r="AJ34" s="713"/>
      <c r="AK34" s="713">
        <v>31</v>
      </c>
      <c r="AL34" s="713"/>
      <c r="AM34" s="713"/>
      <c r="AN34" s="713"/>
      <c r="AO34" s="713"/>
      <c r="AP34" s="713"/>
      <c r="AQ34" s="713">
        <v>564</v>
      </c>
      <c r="AR34" s="713"/>
      <c r="AS34" s="713"/>
      <c r="AT34" s="713"/>
      <c r="AU34" s="713"/>
      <c r="AV34" s="713"/>
      <c r="AW34" s="713">
        <v>18</v>
      </c>
      <c r="AX34" s="713"/>
      <c r="AY34" s="713"/>
      <c r="AZ34" s="713"/>
      <c r="BA34" s="713"/>
      <c r="BB34" s="713"/>
      <c r="BC34" s="713">
        <v>679</v>
      </c>
      <c r="BD34" s="713"/>
      <c r="BE34" s="713"/>
      <c r="BF34" s="713"/>
      <c r="BG34" s="713"/>
      <c r="BH34" s="713"/>
      <c r="BI34" s="713">
        <v>21</v>
      </c>
      <c r="BJ34" s="713"/>
      <c r="BK34" s="713"/>
      <c r="BL34" s="713"/>
      <c r="BM34" s="713"/>
      <c r="BN34" s="713"/>
      <c r="BO34" s="746">
        <v>1427</v>
      </c>
      <c r="BP34" s="746"/>
      <c r="BQ34" s="746"/>
      <c r="BR34" s="746"/>
      <c r="BS34" s="746"/>
      <c r="BT34" s="746"/>
      <c r="BU34" s="746">
        <v>9</v>
      </c>
      <c r="BV34" s="746"/>
      <c r="BW34" s="746"/>
      <c r="BX34" s="746"/>
      <c r="BY34" s="746"/>
      <c r="BZ34" s="746"/>
      <c r="CA34" s="746">
        <v>995</v>
      </c>
      <c r="CB34" s="746"/>
      <c r="CC34" s="746"/>
      <c r="CD34" s="746"/>
      <c r="CE34" s="746"/>
      <c r="CF34" s="746"/>
      <c r="CG34" s="746">
        <v>3</v>
      </c>
      <c r="CH34" s="746"/>
      <c r="CI34" s="746"/>
      <c r="CJ34" s="746"/>
      <c r="CK34" s="746"/>
      <c r="CL34" s="746"/>
      <c r="CM34" s="746">
        <v>526</v>
      </c>
      <c r="CN34" s="746"/>
      <c r="CO34" s="746"/>
      <c r="CP34" s="746"/>
      <c r="CQ34" s="746"/>
      <c r="CR34" s="746"/>
      <c r="CS34" s="746">
        <v>4</v>
      </c>
      <c r="CT34" s="746"/>
      <c r="CU34" s="746"/>
      <c r="CV34" s="746"/>
      <c r="CW34" s="746"/>
      <c r="CX34" s="746"/>
      <c r="CY34" s="746">
        <v>849</v>
      </c>
      <c r="CZ34" s="746"/>
      <c r="DA34" s="746"/>
      <c r="DB34" s="746"/>
      <c r="DC34" s="746"/>
      <c r="DD34" s="746"/>
      <c r="DE34" s="746">
        <v>0</v>
      </c>
      <c r="DF34" s="746"/>
      <c r="DG34" s="746"/>
      <c r="DH34" s="746"/>
      <c r="DI34" s="746"/>
      <c r="DJ34" s="746"/>
      <c r="DK34" s="746">
        <v>0</v>
      </c>
      <c r="DL34" s="746"/>
      <c r="DM34" s="746"/>
      <c r="DN34" s="746"/>
      <c r="DO34" s="746"/>
      <c r="DP34" s="747"/>
    </row>
    <row r="35" spans="1:120" ht="21.75" customHeight="1">
      <c r="A35" s="459" t="s">
        <v>92</v>
      </c>
      <c r="B35" s="118"/>
      <c r="C35" s="118"/>
      <c r="D35" s="118"/>
      <c r="E35" s="118"/>
      <c r="F35" s="118"/>
      <c r="G35" s="713">
        <v>207</v>
      </c>
      <c r="H35" s="713"/>
      <c r="I35" s="713"/>
      <c r="J35" s="713"/>
      <c r="K35" s="713"/>
      <c r="L35" s="713"/>
      <c r="M35" s="746">
        <f t="shared" si="2"/>
        <v>53</v>
      </c>
      <c r="N35" s="746"/>
      <c r="O35" s="746"/>
      <c r="P35" s="746"/>
      <c r="Q35" s="746"/>
      <c r="R35" s="746"/>
      <c r="S35" s="746">
        <f t="shared" si="3"/>
        <v>1926</v>
      </c>
      <c r="T35" s="746"/>
      <c r="U35" s="746"/>
      <c r="V35" s="746"/>
      <c r="W35" s="746"/>
      <c r="X35" s="746"/>
      <c r="Y35" s="713">
        <v>13</v>
      </c>
      <c r="Z35" s="713"/>
      <c r="AA35" s="713"/>
      <c r="AB35" s="713"/>
      <c r="AC35" s="713"/>
      <c r="AD35" s="713"/>
      <c r="AE35" s="713">
        <v>65</v>
      </c>
      <c r="AF35" s="713"/>
      <c r="AG35" s="713"/>
      <c r="AH35" s="713"/>
      <c r="AI35" s="713"/>
      <c r="AJ35" s="713"/>
      <c r="AK35" s="713">
        <v>20</v>
      </c>
      <c r="AL35" s="713"/>
      <c r="AM35" s="713"/>
      <c r="AN35" s="713"/>
      <c r="AO35" s="713"/>
      <c r="AP35" s="713"/>
      <c r="AQ35" s="713">
        <v>343</v>
      </c>
      <c r="AR35" s="713"/>
      <c r="AS35" s="713"/>
      <c r="AT35" s="713"/>
      <c r="AU35" s="713"/>
      <c r="AV35" s="713"/>
      <c r="AW35" s="713">
        <v>7</v>
      </c>
      <c r="AX35" s="713"/>
      <c r="AY35" s="713"/>
      <c r="AZ35" s="713"/>
      <c r="BA35" s="713"/>
      <c r="BB35" s="713"/>
      <c r="BC35" s="713">
        <v>257</v>
      </c>
      <c r="BD35" s="713"/>
      <c r="BE35" s="713"/>
      <c r="BF35" s="713"/>
      <c r="BG35" s="713"/>
      <c r="BH35" s="713"/>
      <c r="BI35" s="713">
        <v>5</v>
      </c>
      <c r="BJ35" s="713"/>
      <c r="BK35" s="713"/>
      <c r="BL35" s="713"/>
      <c r="BM35" s="713"/>
      <c r="BN35" s="713"/>
      <c r="BO35" s="746">
        <v>350</v>
      </c>
      <c r="BP35" s="746"/>
      <c r="BQ35" s="746"/>
      <c r="BR35" s="746"/>
      <c r="BS35" s="746"/>
      <c r="BT35" s="746"/>
      <c r="BU35" s="746">
        <v>8</v>
      </c>
      <c r="BV35" s="746"/>
      <c r="BW35" s="746"/>
      <c r="BX35" s="746"/>
      <c r="BY35" s="746"/>
      <c r="BZ35" s="746"/>
      <c r="CA35" s="746">
        <v>911</v>
      </c>
      <c r="CB35" s="746"/>
      <c r="CC35" s="746"/>
      <c r="CD35" s="746"/>
      <c r="CE35" s="746"/>
      <c r="CF35" s="746"/>
      <c r="CG35" s="746">
        <v>0</v>
      </c>
      <c r="CH35" s="746"/>
      <c r="CI35" s="746"/>
      <c r="CJ35" s="746"/>
      <c r="CK35" s="746"/>
      <c r="CL35" s="746"/>
      <c r="CM35" s="746">
        <v>0</v>
      </c>
      <c r="CN35" s="746"/>
      <c r="CO35" s="746"/>
      <c r="CP35" s="746"/>
      <c r="CQ35" s="746"/>
      <c r="CR35" s="746"/>
      <c r="CS35" s="746">
        <v>0</v>
      </c>
      <c r="CT35" s="746"/>
      <c r="CU35" s="746"/>
      <c r="CV35" s="746"/>
      <c r="CW35" s="746"/>
      <c r="CX35" s="746"/>
      <c r="CY35" s="746">
        <v>0</v>
      </c>
      <c r="CZ35" s="746"/>
      <c r="DA35" s="746"/>
      <c r="DB35" s="746"/>
      <c r="DC35" s="746"/>
      <c r="DD35" s="746"/>
      <c r="DE35" s="746">
        <v>0</v>
      </c>
      <c r="DF35" s="746"/>
      <c r="DG35" s="746"/>
      <c r="DH35" s="746"/>
      <c r="DI35" s="746"/>
      <c r="DJ35" s="746"/>
      <c r="DK35" s="746">
        <v>0</v>
      </c>
      <c r="DL35" s="746"/>
      <c r="DM35" s="746"/>
      <c r="DN35" s="746"/>
      <c r="DO35" s="746"/>
      <c r="DP35" s="747"/>
    </row>
    <row r="36" spans="1:120" ht="21.75" customHeight="1">
      <c r="A36" s="459" t="s">
        <v>301</v>
      </c>
      <c r="B36" s="118"/>
      <c r="C36" s="118"/>
      <c r="D36" s="118"/>
      <c r="E36" s="118"/>
      <c r="F36" s="118"/>
      <c r="G36" s="713">
        <v>33</v>
      </c>
      <c r="H36" s="713"/>
      <c r="I36" s="713"/>
      <c r="J36" s="713"/>
      <c r="K36" s="713"/>
      <c r="L36" s="713"/>
      <c r="M36" s="746">
        <f t="shared" si="2"/>
        <v>4</v>
      </c>
      <c r="N36" s="746"/>
      <c r="O36" s="746"/>
      <c r="P36" s="746"/>
      <c r="Q36" s="746"/>
      <c r="R36" s="746"/>
      <c r="S36" s="746">
        <f t="shared" si="3"/>
        <v>252</v>
      </c>
      <c r="T36" s="746"/>
      <c r="U36" s="746"/>
      <c r="V36" s="746"/>
      <c r="W36" s="746"/>
      <c r="X36" s="746"/>
      <c r="Y36" s="713">
        <v>1</v>
      </c>
      <c r="Z36" s="713"/>
      <c r="AA36" s="713"/>
      <c r="AB36" s="713"/>
      <c r="AC36" s="713"/>
      <c r="AD36" s="713"/>
      <c r="AE36" s="713">
        <v>3</v>
      </c>
      <c r="AF36" s="713"/>
      <c r="AG36" s="713"/>
      <c r="AH36" s="713"/>
      <c r="AI36" s="713"/>
      <c r="AJ36" s="713"/>
      <c r="AK36" s="713">
        <v>1</v>
      </c>
      <c r="AL36" s="713"/>
      <c r="AM36" s="713"/>
      <c r="AN36" s="713"/>
      <c r="AO36" s="713"/>
      <c r="AP36" s="713"/>
      <c r="AQ36" s="713">
        <v>21</v>
      </c>
      <c r="AR36" s="713"/>
      <c r="AS36" s="713"/>
      <c r="AT36" s="713"/>
      <c r="AU36" s="713"/>
      <c r="AV36" s="713"/>
      <c r="AW36" s="713">
        <v>0</v>
      </c>
      <c r="AX36" s="713"/>
      <c r="AY36" s="713"/>
      <c r="AZ36" s="713"/>
      <c r="BA36" s="713"/>
      <c r="BB36" s="713"/>
      <c r="BC36" s="713">
        <v>0</v>
      </c>
      <c r="BD36" s="713"/>
      <c r="BE36" s="713"/>
      <c r="BF36" s="713"/>
      <c r="BG36" s="713"/>
      <c r="BH36" s="713"/>
      <c r="BI36" s="713">
        <v>1</v>
      </c>
      <c r="BJ36" s="713"/>
      <c r="BK36" s="713"/>
      <c r="BL36" s="713"/>
      <c r="BM36" s="713"/>
      <c r="BN36" s="713"/>
      <c r="BO36" s="746">
        <v>68</v>
      </c>
      <c r="BP36" s="746"/>
      <c r="BQ36" s="746"/>
      <c r="BR36" s="746"/>
      <c r="BS36" s="746"/>
      <c r="BT36" s="746"/>
      <c r="BU36" s="746">
        <v>0</v>
      </c>
      <c r="BV36" s="746"/>
      <c r="BW36" s="746"/>
      <c r="BX36" s="746"/>
      <c r="BY36" s="746"/>
      <c r="BZ36" s="746"/>
      <c r="CA36" s="746">
        <v>0</v>
      </c>
      <c r="CB36" s="746"/>
      <c r="CC36" s="746"/>
      <c r="CD36" s="746"/>
      <c r="CE36" s="746"/>
      <c r="CF36" s="746"/>
      <c r="CG36" s="746">
        <v>1</v>
      </c>
      <c r="CH36" s="746"/>
      <c r="CI36" s="746"/>
      <c r="CJ36" s="746"/>
      <c r="CK36" s="746"/>
      <c r="CL36" s="746"/>
      <c r="CM36" s="746">
        <v>160</v>
      </c>
      <c r="CN36" s="746"/>
      <c r="CO36" s="746"/>
      <c r="CP36" s="746"/>
      <c r="CQ36" s="746"/>
      <c r="CR36" s="746"/>
      <c r="CS36" s="746">
        <v>0</v>
      </c>
      <c r="CT36" s="746"/>
      <c r="CU36" s="746"/>
      <c r="CV36" s="746"/>
      <c r="CW36" s="746"/>
      <c r="CX36" s="746"/>
      <c r="CY36" s="746">
        <v>0</v>
      </c>
      <c r="CZ36" s="746"/>
      <c r="DA36" s="746"/>
      <c r="DB36" s="746"/>
      <c r="DC36" s="746"/>
      <c r="DD36" s="746"/>
      <c r="DE36" s="746">
        <v>0</v>
      </c>
      <c r="DF36" s="746"/>
      <c r="DG36" s="746"/>
      <c r="DH36" s="746"/>
      <c r="DI36" s="746"/>
      <c r="DJ36" s="746"/>
      <c r="DK36" s="746">
        <v>0</v>
      </c>
      <c r="DL36" s="746"/>
      <c r="DM36" s="746"/>
      <c r="DN36" s="746"/>
      <c r="DO36" s="746"/>
      <c r="DP36" s="747"/>
    </row>
    <row r="37" spans="1:120" ht="21.75" customHeight="1">
      <c r="A37" s="459" t="s">
        <v>302</v>
      </c>
      <c r="B37" s="118"/>
      <c r="C37" s="118"/>
      <c r="D37" s="118"/>
      <c r="E37" s="118"/>
      <c r="F37" s="118"/>
      <c r="G37" s="713">
        <v>176</v>
      </c>
      <c r="H37" s="713"/>
      <c r="I37" s="713"/>
      <c r="J37" s="713"/>
      <c r="K37" s="713"/>
      <c r="L37" s="713"/>
      <c r="M37" s="746">
        <f>Y37+AK37+AW37+BI37+BU37+CG37+CS37+DE37</f>
        <v>21</v>
      </c>
      <c r="N37" s="746"/>
      <c r="O37" s="746"/>
      <c r="P37" s="746"/>
      <c r="Q37" s="746"/>
      <c r="R37" s="746"/>
      <c r="S37" s="746">
        <f>AE37+AQ37+BC37+BO37+CA37+CM37+CY37+DK37</f>
        <v>1269</v>
      </c>
      <c r="T37" s="746"/>
      <c r="U37" s="746"/>
      <c r="V37" s="746"/>
      <c r="W37" s="746"/>
      <c r="X37" s="746"/>
      <c r="Y37" s="713">
        <v>9</v>
      </c>
      <c r="Z37" s="713"/>
      <c r="AA37" s="713"/>
      <c r="AB37" s="713"/>
      <c r="AC37" s="713"/>
      <c r="AD37" s="713"/>
      <c r="AE37" s="746">
        <v>46</v>
      </c>
      <c r="AF37" s="746"/>
      <c r="AG37" s="746"/>
      <c r="AH37" s="746"/>
      <c r="AI37" s="746"/>
      <c r="AJ37" s="746"/>
      <c r="AK37" s="746">
        <v>5</v>
      </c>
      <c r="AL37" s="746"/>
      <c r="AM37" s="746"/>
      <c r="AN37" s="746"/>
      <c r="AO37" s="746"/>
      <c r="AP37" s="746"/>
      <c r="AQ37" s="746">
        <v>66</v>
      </c>
      <c r="AR37" s="746"/>
      <c r="AS37" s="746"/>
      <c r="AT37" s="746"/>
      <c r="AU37" s="746"/>
      <c r="AV37" s="746"/>
      <c r="AW37" s="746">
        <v>2</v>
      </c>
      <c r="AX37" s="746"/>
      <c r="AY37" s="746"/>
      <c r="AZ37" s="746"/>
      <c r="BA37" s="746"/>
      <c r="BB37" s="746"/>
      <c r="BC37" s="746">
        <v>65</v>
      </c>
      <c r="BD37" s="746"/>
      <c r="BE37" s="746"/>
      <c r="BF37" s="746"/>
      <c r="BG37" s="746"/>
      <c r="BH37" s="746"/>
      <c r="BI37" s="746">
        <v>1</v>
      </c>
      <c r="BJ37" s="746"/>
      <c r="BK37" s="746"/>
      <c r="BL37" s="746"/>
      <c r="BM37" s="746"/>
      <c r="BN37" s="746"/>
      <c r="BO37" s="746">
        <v>52</v>
      </c>
      <c r="BP37" s="746"/>
      <c r="BQ37" s="746"/>
      <c r="BR37" s="746"/>
      <c r="BS37" s="746"/>
      <c r="BT37" s="746"/>
      <c r="BU37" s="746">
        <v>0</v>
      </c>
      <c r="BV37" s="746"/>
      <c r="BW37" s="746"/>
      <c r="BX37" s="746"/>
      <c r="BY37" s="746"/>
      <c r="BZ37" s="746"/>
      <c r="CA37" s="746">
        <v>0</v>
      </c>
      <c r="CB37" s="746"/>
      <c r="CC37" s="746"/>
      <c r="CD37" s="746"/>
      <c r="CE37" s="746"/>
      <c r="CF37" s="746"/>
      <c r="CG37" s="746">
        <v>1</v>
      </c>
      <c r="CH37" s="746"/>
      <c r="CI37" s="746"/>
      <c r="CJ37" s="746"/>
      <c r="CK37" s="746"/>
      <c r="CL37" s="746"/>
      <c r="CM37" s="746">
        <v>150</v>
      </c>
      <c r="CN37" s="746"/>
      <c r="CO37" s="746"/>
      <c r="CP37" s="746"/>
      <c r="CQ37" s="746"/>
      <c r="CR37" s="746"/>
      <c r="CS37" s="746">
        <v>2</v>
      </c>
      <c r="CT37" s="746"/>
      <c r="CU37" s="746"/>
      <c r="CV37" s="746"/>
      <c r="CW37" s="746"/>
      <c r="CX37" s="746"/>
      <c r="CY37" s="746">
        <v>475</v>
      </c>
      <c r="CZ37" s="746"/>
      <c r="DA37" s="746"/>
      <c r="DB37" s="746"/>
      <c r="DC37" s="746"/>
      <c r="DD37" s="746"/>
      <c r="DE37" s="746">
        <v>1</v>
      </c>
      <c r="DF37" s="746"/>
      <c r="DG37" s="746"/>
      <c r="DH37" s="746"/>
      <c r="DI37" s="746"/>
      <c r="DJ37" s="746"/>
      <c r="DK37" s="746">
        <v>415</v>
      </c>
      <c r="DL37" s="746"/>
      <c r="DM37" s="746"/>
      <c r="DN37" s="746"/>
      <c r="DO37" s="746"/>
      <c r="DP37" s="747"/>
    </row>
    <row r="38" spans="1:120" ht="21.75" customHeight="1">
      <c r="A38" s="459" t="s">
        <v>95</v>
      </c>
      <c r="B38" s="118"/>
      <c r="C38" s="118"/>
      <c r="D38" s="118"/>
      <c r="E38" s="118"/>
      <c r="F38" s="118"/>
      <c r="G38" s="713">
        <v>410</v>
      </c>
      <c r="H38" s="713"/>
      <c r="I38" s="713"/>
      <c r="J38" s="713"/>
      <c r="K38" s="713"/>
      <c r="L38" s="713"/>
      <c r="M38" s="746">
        <f>Y38+AK38+AW38+BI38+BU38+CG38+CS38+DE38</f>
        <v>56</v>
      </c>
      <c r="N38" s="746"/>
      <c r="O38" s="746"/>
      <c r="P38" s="746"/>
      <c r="Q38" s="746"/>
      <c r="R38" s="746"/>
      <c r="S38" s="746">
        <f>AE38+AQ38+BC38+BO38+CA38+CM38+CY38+DK38</f>
        <v>3482</v>
      </c>
      <c r="T38" s="746"/>
      <c r="U38" s="746"/>
      <c r="V38" s="746"/>
      <c r="W38" s="746"/>
      <c r="X38" s="746"/>
      <c r="Y38" s="746">
        <v>19</v>
      </c>
      <c r="Z38" s="746"/>
      <c r="AA38" s="746"/>
      <c r="AB38" s="746"/>
      <c r="AC38" s="746"/>
      <c r="AD38" s="746"/>
      <c r="AE38" s="746">
        <v>86</v>
      </c>
      <c r="AF38" s="746"/>
      <c r="AG38" s="746"/>
      <c r="AH38" s="746"/>
      <c r="AI38" s="746"/>
      <c r="AJ38" s="746"/>
      <c r="AK38" s="746">
        <v>15</v>
      </c>
      <c r="AL38" s="746"/>
      <c r="AM38" s="746"/>
      <c r="AN38" s="746"/>
      <c r="AO38" s="746"/>
      <c r="AP38" s="746"/>
      <c r="AQ38" s="746">
        <v>235</v>
      </c>
      <c r="AR38" s="746"/>
      <c r="AS38" s="746"/>
      <c r="AT38" s="746"/>
      <c r="AU38" s="746"/>
      <c r="AV38" s="746"/>
      <c r="AW38" s="746">
        <v>4</v>
      </c>
      <c r="AX38" s="746"/>
      <c r="AY38" s="746"/>
      <c r="AZ38" s="746"/>
      <c r="BA38" s="746"/>
      <c r="BB38" s="746"/>
      <c r="BC38" s="746">
        <v>159</v>
      </c>
      <c r="BD38" s="746"/>
      <c r="BE38" s="746"/>
      <c r="BF38" s="746"/>
      <c r="BG38" s="746"/>
      <c r="BH38" s="746"/>
      <c r="BI38" s="746">
        <v>3</v>
      </c>
      <c r="BJ38" s="746"/>
      <c r="BK38" s="746"/>
      <c r="BL38" s="746"/>
      <c r="BM38" s="746"/>
      <c r="BN38" s="746"/>
      <c r="BO38" s="746">
        <v>211</v>
      </c>
      <c r="BP38" s="746"/>
      <c r="BQ38" s="746"/>
      <c r="BR38" s="746"/>
      <c r="BS38" s="746"/>
      <c r="BT38" s="746"/>
      <c r="BU38" s="746">
        <v>3</v>
      </c>
      <c r="BV38" s="746"/>
      <c r="BW38" s="746"/>
      <c r="BX38" s="746"/>
      <c r="BY38" s="746"/>
      <c r="BZ38" s="746"/>
      <c r="CA38" s="746">
        <v>338</v>
      </c>
      <c r="CB38" s="746"/>
      <c r="CC38" s="746"/>
      <c r="CD38" s="746"/>
      <c r="CE38" s="746"/>
      <c r="CF38" s="746"/>
      <c r="CG38" s="746">
        <v>7</v>
      </c>
      <c r="CH38" s="746"/>
      <c r="CI38" s="746"/>
      <c r="CJ38" s="746"/>
      <c r="CK38" s="746"/>
      <c r="CL38" s="746"/>
      <c r="CM38" s="746">
        <v>1231</v>
      </c>
      <c r="CN38" s="746"/>
      <c r="CO38" s="746"/>
      <c r="CP38" s="746"/>
      <c r="CQ38" s="746"/>
      <c r="CR38" s="746"/>
      <c r="CS38" s="746">
        <v>4</v>
      </c>
      <c r="CT38" s="746"/>
      <c r="CU38" s="746"/>
      <c r="CV38" s="746"/>
      <c r="CW38" s="746"/>
      <c r="CX38" s="746"/>
      <c r="CY38" s="746">
        <v>922</v>
      </c>
      <c r="CZ38" s="746"/>
      <c r="DA38" s="746"/>
      <c r="DB38" s="746"/>
      <c r="DC38" s="746"/>
      <c r="DD38" s="746"/>
      <c r="DE38" s="746">
        <v>1</v>
      </c>
      <c r="DF38" s="746"/>
      <c r="DG38" s="746"/>
      <c r="DH38" s="746"/>
      <c r="DI38" s="746"/>
      <c r="DJ38" s="746"/>
      <c r="DK38" s="746">
        <v>300</v>
      </c>
      <c r="DL38" s="746"/>
      <c r="DM38" s="746"/>
      <c r="DN38" s="746"/>
      <c r="DO38" s="746"/>
      <c r="DP38" s="747"/>
    </row>
    <row r="39" spans="1:120" ht="21.75" customHeight="1">
      <c r="A39" s="459" t="s">
        <v>96</v>
      </c>
      <c r="B39" s="118"/>
      <c r="C39" s="118"/>
      <c r="D39" s="118"/>
      <c r="E39" s="118"/>
      <c r="F39" s="118"/>
      <c r="G39" s="713">
        <v>162</v>
      </c>
      <c r="H39" s="713"/>
      <c r="I39" s="713"/>
      <c r="J39" s="713"/>
      <c r="K39" s="713"/>
      <c r="L39" s="713"/>
      <c r="M39" s="746">
        <f>Y39+AK39+AW39+BI39+BU39+CG39+CS39+DE39</f>
        <v>85</v>
      </c>
      <c r="N39" s="746"/>
      <c r="O39" s="746"/>
      <c r="P39" s="746"/>
      <c r="Q39" s="746"/>
      <c r="R39" s="746"/>
      <c r="S39" s="746">
        <f>AE39+AQ39+BC39+BO39+CA39+CM39+CY39+DK39</f>
        <v>7403</v>
      </c>
      <c r="T39" s="746"/>
      <c r="U39" s="746"/>
      <c r="V39" s="746"/>
      <c r="W39" s="746"/>
      <c r="X39" s="746"/>
      <c r="Y39" s="713">
        <v>4</v>
      </c>
      <c r="Z39" s="713"/>
      <c r="AA39" s="713"/>
      <c r="AB39" s="713"/>
      <c r="AC39" s="713"/>
      <c r="AD39" s="713"/>
      <c r="AE39" s="713">
        <v>24</v>
      </c>
      <c r="AF39" s="713"/>
      <c r="AG39" s="713"/>
      <c r="AH39" s="713"/>
      <c r="AI39" s="713"/>
      <c r="AJ39" s="713"/>
      <c r="AK39" s="713">
        <v>28</v>
      </c>
      <c r="AL39" s="713"/>
      <c r="AM39" s="713"/>
      <c r="AN39" s="713"/>
      <c r="AO39" s="713"/>
      <c r="AP39" s="713"/>
      <c r="AQ39" s="713">
        <v>527</v>
      </c>
      <c r="AR39" s="713"/>
      <c r="AS39" s="713"/>
      <c r="AT39" s="713"/>
      <c r="AU39" s="713"/>
      <c r="AV39" s="713"/>
      <c r="AW39" s="713">
        <v>16</v>
      </c>
      <c r="AX39" s="713"/>
      <c r="AY39" s="713"/>
      <c r="AZ39" s="713"/>
      <c r="BA39" s="713"/>
      <c r="BB39" s="713"/>
      <c r="BC39" s="713">
        <v>555</v>
      </c>
      <c r="BD39" s="713"/>
      <c r="BE39" s="713"/>
      <c r="BF39" s="713"/>
      <c r="BG39" s="713"/>
      <c r="BH39" s="713"/>
      <c r="BI39" s="713">
        <v>10</v>
      </c>
      <c r="BJ39" s="713"/>
      <c r="BK39" s="713"/>
      <c r="BL39" s="713"/>
      <c r="BM39" s="713"/>
      <c r="BN39" s="713"/>
      <c r="BO39" s="746">
        <v>754</v>
      </c>
      <c r="BP39" s="746"/>
      <c r="BQ39" s="746"/>
      <c r="BR39" s="746"/>
      <c r="BS39" s="746"/>
      <c r="BT39" s="746"/>
      <c r="BU39" s="746">
        <v>10</v>
      </c>
      <c r="BV39" s="746"/>
      <c r="BW39" s="746"/>
      <c r="BX39" s="746"/>
      <c r="BY39" s="746"/>
      <c r="BZ39" s="746"/>
      <c r="CA39" s="746">
        <v>1081</v>
      </c>
      <c r="CB39" s="746"/>
      <c r="CC39" s="746"/>
      <c r="CD39" s="746"/>
      <c r="CE39" s="746"/>
      <c r="CF39" s="746"/>
      <c r="CG39" s="746">
        <v>4</v>
      </c>
      <c r="CH39" s="746"/>
      <c r="CI39" s="746"/>
      <c r="CJ39" s="746"/>
      <c r="CK39" s="746"/>
      <c r="CL39" s="746"/>
      <c r="CM39" s="746">
        <v>700</v>
      </c>
      <c r="CN39" s="746"/>
      <c r="CO39" s="746"/>
      <c r="CP39" s="746"/>
      <c r="CQ39" s="746"/>
      <c r="CR39" s="746"/>
      <c r="CS39" s="746">
        <v>9</v>
      </c>
      <c r="CT39" s="746"/>
      <c r="CU39" s="746"/>
      <c r="CV39" s="746"/>
      <c r="CW39" s="746"/>
      <c r="CX39" s="746"/>
      <c r="CY39" s="746">
        <v>2146</v>
      </c>
      <c r="CZ39" s="746"/>
      <c r="DA39" s="746"/>
      <c r="DB39" s="746"/>
      <c r="DC39" s="746"/>
      <c r="DD39" s="746"/>
      <c r="DE39" s="746">
        <f>3+1</f>
        <v>4</v>
      </c>
      <c r="DF39" s="746"/>
      <c r="DG39" s="746"/>
      <c r="DH39" s="746"/>
      <c r="DI39" s="746"/>
      <c r="DJ39" s="746"/>
      <c r="DK39" s="746">
        <f>1116+500</f>
        <v>1616</v>
      </c>
      <c r="DL39" s="746"/>
      <c r="DM39" s="746"/>
      <c r="DN39" s="746"/>
      <c r="DO39" s="746"/>
      <c r="DP39" s="747"/>
    </row>
    <row r="40" spans="1:120" ht="21.75" customHeight="1" thickBot="1">
      <c r="A40" s="740" t="s">
        <v>97</v>
      </c>
      <c r="B40" s="741"/>
      <c r="C40" s="741"/>
      <c r="D40" s="741"/>
      <c r="E40" s="741"/>
      <c r="F40" s="741"/>
      <c r="G40" s="719">
        <v>241</v>
      </c>
      <c r="H40" s="719"/>
      <c r="I40" s="719"/>
      <c r="J40" s="719"/>
      <c r="K40" s="719"/>
      <c r="L40" s="719"/>
      <c r="M40" s="748">
        <f>Y40+AK40+AW40+BI40+BU40+CG40+CS40+DE40</f>
        <v>75</v>
      </c>
      <c r="N40" s="748"/>
      <c r="O40" s="748"/>
      <c r="P40" s="748"/>
      <c r="Q40" s="748"/>
      <c r="R40" s="748"/>
      <c r="S40" s="748">
        <f>AE40+AQ40+BC40+BO40+CA40+CM40+CY40+DK40</f>
        <v>5927</v>
      </c>
      <c r="T40" s="748"/>
      <c r="U40" s="748"/>
      <c r="V40" s="748"/>
      <c r="W40" s="748"/>
      <c r="X40" s="748"/>
      <c r="Y40" s="719">
        <v>18</v>
      </c>
      <c r="Z40" s="719"/>
      <c r="AA40" s="719"/>
      <c r="AB40" s="719"/>
      <c r="AC40" s="719"/>
      <c r="AD40" s="719"/>
      <c r="AE40" s="719">
        <v>69</v>
      </c>
      <c r="AF40" s="719"/>
      <c r="AG40" s="719"/>
      <c r="AH40" s="719"/>
      <c r="AI40" s="719"/>
      <c r="AJ40" s="719"/>
      <c r="AK40" s="719">
        <v>24</v>
      </c>
      <c r="AL40" s="719"/>
      <c r="AM40" s="719"/>
      <c r="AN40" s="719"/>
      <c r="AO40" s="719"/>
      <c r="AP40" s="719"/>
      <c r="AQ40" s="719">
        <v>430</v>
      </c>
      <c r="AR40" s="719"/>
      <c r="AS40" s="719"/>
      <c r="AT40" s="719"/>
      <c r="AU40" s="719"/>
      <c r="AV40" s="719"/>
      <c r="AW40" s="719">
        <v>8</v>
      </c>
      <c r="AX40" s="719"/>
      <c r="AY40" s="719"/>
      <c r="AZ40" s="719"/>
      <c r="BA40" s="719"/>
      <c r="BB40" s="719"/>
      <c r="BC40" s="719">
        <v>297</v>
      </c>
      <c r="BD40" s="719"/>
      <c r="BE40" s="719"/>
      <c r="BF40" s="719"/>
      <c r="BG40" s="719"/>
      <c r="BH40" s="719"/>
      <c r="BI40" s="719">
        <v>7</v>
      </c>
      <c r="BJ40" s="719"/>
      <c r="BK40" s="719"/>
      <c r="BL40" s="719"/>
      <c r="BM40" s="719"/>
      <c r="BN40" s="719"/>
      <c r="BO40" s="748">
        <v>460</v>
      </c>
      <c r="BP40" s="748"/>
      <c r="BQ40" s="748"/>
      <c r="BR40" s="748"/>
      <c r="BS40" s="748"/>
      <c r="BT40" s="748"/>
      <c r="BU40" s="748">
        <v>6</v>
      </c>
      <c r="BV40" s="748"/>
      <c r="BW40" s="748"/>
      <c r="BX40" s="748"/>
      <c r="BY40" s="748"/>
      <c r="BZ40" s="748"/>
      <c r="CA40" s="748">
        <v>768</v>
      </c>
      <c r="CB40" s="748"/>
      <c r="CC40" s="748"/>
      <c r="CD40" s="748"/>
      <c r="CE40" s="748"/>
      <c r="CF40" s="748"/>
      <c r="CG40" s="748">
        <v>1</v>
      </c>
      <c r="CH40" s="748"/>
      <c r="CI40" s="748"/>
      <c r="CJ40" s="748"/>
      <c r="CK40" s="748"/>
      <c r="CL40" s="748"/>
      <c r="CM40" s="748">
        <v>193</v>
      </c>
      <c r="CN40" s="748"/>
      <c r="CO40" s="748"/>
      <c r="CP40" s="748"/>
      <c r="CQ40" s="748"/>
      <c r="CR40" s="748"/>
      <c r="CS40" s="748">
        <v>5</v>
      </c>
      <c r="CT40" s="748"/>
      <c r="CU40" s="748"/>
      <c r="CV40" s="748"/>
      <c r="CW40" s="748"/>
      <c r="CX40" s="748"/>
      <c r="CY40" s="748">
        <v>1343</v>
      </c>
      <c r="CZ40" s="748"/>
      <c r="DA40" s="748"/>
      <c r="DB40" s="748"/>
      <c r="DC40" s="748"/>
      <c r="DD40" s="748"/>
      <c r="DE40" s="748">
        <f>3+3</f>
        <v>6</v>
      </c>
      <c r="DF40" s="748"/>
      <c r="DG40" s="748"/>
      <c r="DH40" s="748"/>
      <c r="DI40" s="748"/>
      <c r="DJ40" s="748"/>
      <c r="DK40" s="748">
        <f>1042+1325</f>
        <v>2367</v>
      </c>
      <c r="DL40" s="748"/>
      <c r="DM40" s="748"/>
      <c r="DN40" s="748"/>
      <c r="DO40" s="748"/>
      <c r="DP40" s="749"/>
    </row>
  </sheetData>
  <sheetProtection/>
  <mergeCells count="638">
    <mergeCell ref="DE40:DJ40"/>
    <mergeCell ref="DK40:DP40"/>
    <mergeCell ref="BU40:BZ40"/>
    <mergeCell ref="CA40:CF40"/>
    <mergeCell ref="CG40:CL40"/>
    <mergeCell ref="CM40:CR40"/>
    <mergeCell ref="CS40:CX40"/>
    <mergeCell ref="CY40:DD40"/>
    <mergeCell ref="AK40:AP40"/>
    <mergeCell ref="AQ40:AV40"/>
    <mergeCell ref="AW40:BB40"/>
    <mergeCell ref="BC40:BH40"/>
    <mergeCell ref="BI40:BN40"/>
    <mergeCell ref="BO40:BT40"/>
    <mergeCell ref="A40:F40"/>
    <mergeCell ref="G40:L40"/>
    <mergeCell ref="M40:R40"/>
    <mergeCell ref="S40:X40"/>
    <mergeCell ref="Y40:AD40"/>
    <mergeCell ref="AE40:AJ40"/>
    <mergeCell ref="CG39:CL39"/>
    <mergeCell ref="CM39:CR39"/>
    <mergeCell ref="CS39:CX39"/>
    <mergeCell ref="CY39:DD39"/>
    <mergeCell ref="DE39:DJ39"/>
    <mergeCell ref="DK39:DP39"/>
    <mergeCell ref="AW39:BB39"/>
    <mergeCell ref="BC39:BH39"/>
    <mergeCell ref="BI39:BN39"/>
    <mergeCell ref="BO39:BT39"/>
    <mergeCell ref="BU39:BZ39"/>
    <mergeCell ref="CA39:CF39"/>
    <mergeCell ref="DE38:DJ38"/>
    <mergeCell ref="DK38:DP38"/>
    <mergeCell ref="A39:F39"/>
    <mergeCell ref="G39:L39"/>
    <mergeCell ref="M39:R39"/>
    <mergeCell ref="S39:X39"/>
    <mergeCell ref="Y39:AD39"/>
    <mergeCell ref="AE39:AJ39"/>
    <mergeCell ref="AK39:AP39"/>
    <mergeCell ref="AQ39:AV39"/>
    <mergeCell ref="BU38:BZ38"/>
    <mergeCell ref="CA38:CF38"/>
    <mergeCell ref="CG38:CL38"/>
    <mergeCell ref="CM38:CR38"/>
    <mergeCell ref="CS38:CX38"/>
    <mergeCell ref="CY38:DD38"/>
    <mergeCell ref="AK38:AP38"/>
    <mergeCell ref="AQ38:AV38"/>
    <mergeCell ref="AW38:BB38"/>
    <mergeCell ref="BC38:BH38"/>
    <mergeCell ref="BI38:BN38"/>
    <mergeCell ref="BO38:BT38"/>
    <mergeCell ref="A38:F38"/>
    <mergeCell ref="G38:L38"/>
    <mergeCell ref="M38:R38"/>
    <mergeCell ref="S38:X38"/>
    <mergeCell ref="Y38:AD38"/>
    <mergeCell ref="AE38:AJ38"/>
    <mergeCell ref="CG37:CL37"/>
    <mergeCell ref="CM37:CR37"/>
    <mergeCell ref="CS37:CX37"/>
    <mergeCell ref="CY37:DD37"/>
    <mergeCell ref="DE37:DJ37"/>
    <mergeCell ref="DK37:DP37"/>
    <mergeCell ref="AW37:BB37"/>
    <mergeCell ref="BC37:BH37"/>
    <mergeCell ref="BI37:BN37"/>
    <mergeCell ref="BO37:BT37"/>
    <mergeCell ref="BU37:BZ37"/>
    <mergeCell ref="CA37:CF37"/>
    <mergeCell ref="DE36:DJ36"/>
    <mergeCell ref="DK36:DP36"/>
    <mergeCell ref="A37:F37"/>
    <mergeCell ref="G37:L37"/>
    <mergeCell ref="M37:R37"/>
    <mergeCell ref="S37:X37"/>
    <mergeCell ref="Y37:AD37"/>
    <mergeCell ref="AE37:AJ37"/>
    <mergeCell ref="AK37:AP37"/>
    <mergeCell ref="AQ37:AV37"/>
    <mergeCell ref="BU36:BZ36"/>
    <mergeCell ref="CA36:CF36"/>
    <mergeCell ref="CG36:CL36"/>
    <mergeCell ref="CM36:CR36"/>
    <mergeCell ref="CS36:CX36"/>
    <mergeCell ref="CY36:DD36"/>
    <mergeCell ref="AK36:AP36"/>
    <mergeCell ref="AQ36:AV36"/>
    <mergeCell ref="AW36:BB36"/>
    <mergeCell ref="BC36:BH36"/>
    <mergeCell ref="BI36:BN36"/>
    <mergeCell ref="BO36:BT36"/>
    <mergeCell ref="A36:F36"/>
    <mergeCell ref="G36:L36"/>
    <mergeCell ref="M36:R36"/>
    <mergeCell ref="S36:X36"/>
    <mergeCell ref="Y36:AD36"/>
    <mergeCell ref="AE36:AJ36"/>
    <mergeCell ref="CG35:CL35"/>
    <mergeCell ref="CM35:CR35"/>
    <mergeCell ref="CS35:CX35"/>
    <mergeCell ref="CY35:DD35"/>
    <mergeCell ref="DE35:DJ35"/>
    <mergeCell ref="DK35:DP35"/>
    <mergeCell ref="AW35:BB35"/>
    <mergeCell ref="BC35:BH35"/>
    <mergeCell ref="BI35:BN35"/>
    <mergeCell ref="BO35:BT35"/>
    <mergeCell ref="BU35:BZ35"/>
    <mergeCell ref="CA35:CF35"/>
    <mergeCell ref="DE34:DJ34"/>
    <mergeCell ref="DK34:DP34"/>
    <mergeCell ref="A35:F35"/>
    <mergeCell ref="G35:L35"/>
    <mergeCell ref="M35:R35"/>
    <mergeCell ref="S35:X35"/>
    <mergeCell ref="Y35:AD35"/>
    <mergeCell ref="AE35:AJ35"/>
    <mergeCell ref="AK35:AP35"/>
    <mergeCell ref="AQ35:AV35"/>
    <mergeCell ref="BU34:BZ34"/>
    <mergeCell ref="CA34:CF34"/>
    <mergeCell ref="CG34:CL34"/>
    <mergeCell ref="CM34:CR34"/>
    <mergeCell ref="CS34:CX34"/>
    <mergeCell ref="CY34:DD34"/>
    <mergeCell ref="AK34:AP34"/>
    <mergeCell ref="AQ34:AV34"/>
    <mergeCell ref="AW34:BB34"/>
    <mergeCell ref="BC34:BH34"/>
    <mergeCell ref="BI34:BN34"/>
    <mergeCell ref="BO34:BT34"/>
    <mergeCell ref="A34:F34"/>
    <mergeCell ref="G34:L34"/>
    <mergeCell ref="M34:R34"/>
    <mergeCell ref="S34:X34"/>
    <mergeCell ref="Y34:AD34"/>
    <mergeCell ref="AE34:AJ34"/>
    <mergeCell ref="CG33:CL33"/>
    <mergeCell ref="CM33:CR33"/>
    <mergeCell ref="CS33:CX33"/>
    <mergeCell ref="CY33:DD33"/>
    <mergeCell ref="DE33:DJ33"/>
    <mergeCell ref="DK33:DP33"/>
    <mergeCell ref="AW33:BB33"/>
    <mergeCell ref="BC33:BH33"/>
    <mergeCell ref="BI33:BN33"/>
    <mergeCell ref="BO33:BT33"/>
    <mergeCell ref="BU33:BZ33"/>
    <mergeCell ref="CA33:CF33"/>
    <mergeCell ref="DE32:DJ32"/>
    <mergeCell ref="DK32:DP32"/>
    <mergeCell ref="A33:F33"/>
    <mergeCell ref="G33:L33"/>
    <mergeCell ref="M33:R33"/>
    <mergeCell ref="S33:X33"/>
    <mergeCell ref="Y33:AD33"/>
    <mergeCell ref="AE33:AJ33"/>
    <mergeCell ref="AK33:AP33"/>
    <mergeCell ref="AQ33:AV33"/>
    <mergeCell ref="BU32:BZ32"/>
    <mergeCell ref="CA32:CF32"/>
    <mergeCell ref="CG32:CL32"/>
    <mergeCell ref="CM32:CR32"/>
    <mergeCell ref="CS32:CX32"/>
    <mergeCell ref="CY32:DD32"/>
    <mergeCell ref="AK32:AP32"/>
    <mergeCell ref="AQ32:AV32"/>
    <mergeCell ref="AW32:BB32"/>
    <mergeCell ref="BC32:BH32"/>
    <mergeCell ref="BI32:BN32"/>
    <mergeCell ref="BO32:BT32"/>
    <mergeCell ref="A32:F32"/>
    <mergeCell ref="G32:L32"/>
    <mergeCell ref="M32:R32"/>
    <mergeCell ref="S32:X32"/>
    <mergeCell ref="Y32:AD32"/>
    <mergeCell ref="AE32:AJ32"/>
    <mergeCell ref="CG31:CL31"/>
    <mergeCell ref="CM31:CR31"/>
    <mergeCell ref="CS31:CX31"/>
    <mergeCell ref="CY31:DD31"/>
    <mergeCell ref="DE31:DJ31"/>
    <mergeCell ref="DK31:DP31"/>
    <mergeCell ref="AW31:BB31"/>
    <mergeCell ref="BC31:BH31"/>
    <mergeCell ref="BI31:BN31"/>
    <mergeCell ref="BO31:BT31"/>
    <mergeCell ref="BU31:BZ31"/>
    <mergeCell ref="CA31:CF31"/>
    <mergeCell ref="DE30:DJ30"/>
    <mergeCell ref="DK30:DP30"/>
    <mergeCell ref="A31:F31"/>
    <mergeCell ref="G31:L31"/>
    <mergeCell ref="M31:R31"/>
    <mergeCell ref="S31:X31"/>
    <mergeCell ref="Y31:AD31"/>
    <mergeCell ref="AE31:AJ31"/>
    <mergeCell ref="AK31:AP31"/>
    <mergeCell ref="AQ31:AV31"/>
    <mergeCell ref="BU30:BZ30"/>
    <mergeCell ref="CA30:CF30"/>
    <mergeCell ref="CG30:CL30"/>
    <mergeCell ref="CM30:CR30"/>
    <mergeCell ref="CS30:CX30"/>
    <mergeCell ref="CY30:DD30"/>
    <mergeCell ref="AK30:AP30"/>
    <mergeCell ref="AQ30:AV30"/>
    <mergeCell ref="AW30:BB30"/>
    <mergeCell ref="BC30:BH30"/>
    <mergeCell ref="BI30:BN30"/>
    <mergeCell ref="BO30:BT30"/>
    <mergeCell ref="A30:F30"/>
    <mergeCell ref="G30:L30"/>
    <mergeCell ref="M30:R30"/>
    <mergeCell ref="S30:X30"/>
    <mergeCell ref="Y30:AD30"/>
    <mergeCell ref="AE30:AJ30"/>
    <mergeCell ref="CG29:CL29"/>
    <mergeCell ref="CM29:CR29"/>
    <mergeCell ref="CS29:CX29"/>
    <mergeCell ref="CY29:DD29"/>
    <mergeCell ref="DE29:DJ29"/>
    <mergeCell ref="DK29:DP29"/>
    <mergeCell ref="AW29:BB29"/>
    <mergeCell ref="BC29:BH29"/>
    <mergeCell ref="BI29:BN29"/>
    <mergeCell ref="BO29:BT29"/>
    <mergeCell ref="BU29:BZ29"/>
    <mergeCell ref="CA29:CF29"/>
    <mergeCell ref="DE28:DJ28"/>
    <mergeCell ref="DK28:DP28"/>
    <mergeCell ref="A29:F29"/>
    <mergeCell ref="G29:L29"/>
    <mergeCell ref="M29:R29"/>
    <mergeCell ref="S29:X29"/>
    <mergeCell ref="Y29:AD29"/>
    <mergeCell ref="AE29:AJ29"/>
    <mergeCell ref="AK29:AP29"/>
    <mergeCell ref="AQ29:AV29"/>
    <mergeCell ref="BU28:BZ28"/>
    <mergeCell ref="CA28:CF28"/>
    <mergeCell ref="CG28:CL28"/>
    <mergeCell ref="CM28:CR28"/>
    <mergeCell ref="CS28:CX28"/>
    <mergeCell ref="CY28:DD28"/>
    <mergeCell ref="AK28:AP28"/>
    <mergeCell ref="AQ28:AV28"/>
    <mergeCell ref="AW28:BB28"/>
    <mergeCell ref="BC28:BH28"/>
    <mergeCell ref="BI28:BN28"/>
    <mergeCell ref="BO28:BT28"/>
    <mergeCell ref="CS27:CX27"/>
    <mergeCell ref="CY27:DD27"/>
    <mergeCell ref="DE27:DJ27"/>
    <mergeCell ref="DK27:DP27"/>
    <mergeCell ref="A28:F28"/>
    <mergeCell ref="G28:L28"/>
    <mergeCell ref="M28:R28"/>
    <mergeCell ref="S28:X28"/>
    <mergeCell ref="Y28:AD28"/>
    <mergeCell ref="AE28:AJ28"/>
    <mergeCell ref="BI27:BN27"/>
    <mergeCell ref="BO27:BT27"/>
    <mergeCell ref="BU27:BZ27"/>
    <mergeCell ref="CA27:CF27"/>
    <mergeCell ref="CG27:CL27"/>
    <mergeCell ref="CM27:CR27"/>
    <mergeCell ref="BU26:CF26"/>
    <mergeCell ref="CG26:CR26"/>
    <mergeCell ref="CS26:DD26"/>
    <mergeCell ref="DE26:DP26"/>
    <mergeCell ref="Y27:AD27"/>
    <mergeCell ref="AE27:AJ27"/>
    <mergeCell ref="AK27:AP27"/>
    <mergeCell ref="AQ27:AV27"/>
    <mergeCell ref="AW27:BB27"/>
    <mergeCell ref="BC27:BH27"/>
    <mergeCell ref="A25:F27"/>
    <mergeCell ref="G25:L27"/>
    <mergeCell ref="M25:X25"/>
    <mergeCell ref="Y25:DP25"/>
    <mergeCell ref="M26:R27"/>
    <mergeCell ref="S26:X27"/>
    <mergeCell ref="Y26:AJ26"/>
    <mergeCell ref="AK26:AV26"/>
    <mergeCell ref="AW26:BH26"/>
    <mergeCell ref="BI26:BT26"/>
    <mergeCell ref="CM18:CQ18"/>
    <mergeCell ref="CR18:CV18"/>
    <mergeCell ref="CW18:DA18"/>
    <mergeCell ref="DB18:DF18"/>
    <mergeCell ref="DG18:DK18"/>
    <mergeCell ref="DL18:DP18"/>
    <mergeCell ref="BI18:BM18"/>
    <mergeCell ref="BN18:BR18"/>
    <mergeCell ref="BS18:BW18"/>
    <mergeCell ref="BX18:CB18"/>
    <mergeCell ref="CC18:CG18"/>
    <mergeCell ref="CH18:CL18"/>
    <mergeCell ref="AE18:AI18"/>
    <mergeCell ref="AJ18:AN18"/>
    <mergeCell ref="AO18:AS18"/>
    <mergeCell ref="AT18:AX18"/>
    <mergeCell ref="AY18:BC18"/>
    <mergeCell ref="BD18:BH18"/>
    <mergeCell ref="A18:E18"/>
    <mergeCell ref="F18:J18"/>
    <mergeCell ref="K18:O18"/>
    <mergeCell ref="P18:T18"/>
    <mergeCell ref="U18:Y18"/>
    <mergeCell ref="Z18:AD18"/>
    <mergeCell ref="CM17:CQ17"/>
    <mergeCell ref="CR17:CV17"/>
    <mergeCell ref="CW17:DA17"/>
    <mergeCell ref="DB17:DF17"/>
    <mergeCell ref="DG17:DK17"/>
    <mergeCell ref="DL17:DP17"/>
    <mergeCell ref="BI17:BM17"/>
    <mergeCell ref="BN17:BR17"/>
    <mergeCell ref="BS17:BW17"/>
    <mergeCell ref="BX17:CB17"/>
    <mergeCell ref="CC17:CG17"/>
    <mergeCell ref="CH17:CL17"/>
    <mergeCell ref="AE17:AI17"/>
    <mergeCell ref="AJ17:AN17"/>
    <mergeCell ref="AO17:AS17"/>
    <mergeCell ref="AT17:AX17"/>
    <mergeCell ref="AY17:BC17"/>
    <mergeCell ref="BD17:BH17"/>
    <mergeCell ref="A17:E17"/>
    <mergeCell ref="F17:J17"/>
    <mergeCell ref="K17:O17"/>
    <mergeCell ref="P17:T17"/>
    <mergeCell ref="U17:Y17"/>
    <mergeCell ref="Z17:AD17"/>
    <mergeCell ref="CM16:CQ16"/>
    <mergeCell ref="CR16:CV16"/>
    <mergeCell ref="CW16:DA16"/>
    <mergeCell ref="DB16:DF16"/>
    <mergeCell ref="DG16:DK16"/>
    <mergeCell ref="DL16:DP16"/>
    <mergeCell ref="BI16:BM16"/>
    <mergeCell ref="BN16:BR16"/>
    <mergeCell ref="BS16:BW16"/>
    <mergeCell ref="BX16:CB16"/>
    <mergeCell ref="CC16:CG16"/>
    <mergeCell ref="CH16:CL16"/>
    <mergeCell ref="AE16:AI16"/>
    <mergeCell ref="AJ16:AN16"/>
    <mergeCell ref="AO16:AS16"/>
    <mergeCell ref="AT16:AX16"/>
    <mergeCell ref="AY16:BC16"/>
    <mergeCell ref="BD16:BH16"/>
    <mergeCell ref="A16:E16"/>
    <mergeCell ref="F16:J16"/>
    <mergeCell ref="K16:O16"/>
    <mergeCell ref="P16:T16"/>
    <mergeCell ref="U16:Y16"/>
    <mergeCell ref="Z16:AD16"/>
    <mergeCell ref="CM15:CQ15"/>
    <mergeCell ref="CR15:CV15"/>
    <mergeCell ref="CW15:DA15"/>
    <mergeCell ref="DB15:DF15"/>
    <mergeCell ref="DG15:DK15"/>
    <mergeCell ref="DL15:DP15"/>
    <mergeCell ref="BI15:BM15"/>
    <mergeCell ref="BN15:BR15"/>
    <mergeCell ref="BS15:BW15"/>
    <mergeCell ref="BX15:CB15"/>
    <mergeCell ref="CC15:CG15"/>
    <mergeCell ref="CH15:CL15"/>
    <mergeCell ref="AE15:AI15"/>
    <mergeCell ref="AJ15:AN15"/>
    <mergeCell ref="AO15:AS15"/>
    <mergeCell ref="AT15:AX15"/>
    <mergeCell ref="AY15:BC15"/>
    <mergeCell ref="BD15:BH15"/>
    <mergeCell ref="A15:E15"/>
    <mergeCell ref="F15:J15"/>
    <mergeCell ref="K15:O15"/>
    <mergeCell ref="P15:T15"/>
    <mergeCell ref="U15:Y15"/>
    <mergeCell ref="Z15:AD15"/>
    <mergeCell ref="CM14:CQ14"/>
    <mergeCell ref="CR14:CV14"/>
    <mergeCell ref="CW14:DA14"/>
    <mergeCell ref="DB14:DF14"/>
    <mergeCell ref="DG14:DK14"/>
    <mergeCell ref="DL14:DP14"/>
    <mergeCell ref="BI14:BM14"/>
    <mergeCell ref="BN14:BR14"/>
    <mergeCell ref="BS14:BW14"/>
    <mergeCell ref="BX14:CB14"/>
    <mergeCell ref="CC14:CG14"/>
    <mergeCell ref="CH14:CL14"/>
    <mergeCell ref="AE14:AI14"/>
    <mergeCell ref="AJ14:AN14"/>
    <mergeCell ref="AO14:AS14"/>
    <mergeCell ref="AT14:AX14"/>
    <mergeCell ref="AY14:BC14"/>
    <mergeCell ref="BD14:BH14"/>
    <mergeCell ref="A14:E14"/>
    <mergeCell ref="F14:J14"/>
    <mergeCell ref="K14:O14"/>
    <mergeCell ref="P14:T14"/>
    <mergeCell ref="U14:Y14"/>
    <mergeCell ref="Z14:AD14"/>
    <mergeCell ref="CM13:CQ13"/>
    <mergeCell ref="CR13:CV13"/>
    <mergeCell ref="CW13:DA13"/>
    <mergeCell ref="DB13:DF13"/>
    <mergeCell ref="DG13:DK13"/>
    <mergeCell ref="DL13:DP13"/>
    <mergeCell ref="BI13:BM13"/>
    <mergeCell ref="BN13:BR13"/>
    <mergeCell ref="BS13:BW13"/>
    <mergeCell ref="BX13:CB13"/>
    <mergeCell ref="CC13:CG13"/>
    <mergeCell ref="CH13:CL13"/>
    <mergeCell ref="AE13:AI13"/>
    <mergeCell ref="AJ13:AN13"/>
    <mergeCell ref="AO13:AS13"/>
    <mergeCell ref="AT13:AX13"/>
    <mergeCell ref="AY13:BC13"/>
    <mergeCell ref="BD13:BH13"/>
    <mergeCell ref="A13:E13"/>
    <mergeCell ref="F13:J13"/>
    <mergeCell ref="K13:O13"/>
    <mergeCell ref="P13:T13"/>
    <mergeCell ref="U13:Y13"/>
    <mergeCell ref="Z13:AD13"/>
    <mergeCell ref="CM12:CQ12"/>
    <mergeCell ref="CR12:CV12"/>
    <mergeCell ref="CW12:DA12"/>
    <mergeCell ref="DB12:DF12"/>
    <mergeCell ref="DG12:DK12"/>
    <mergeCell ref="DL12:DP12"/>
    <mergeCell ref="BI12:BM12"/>
    <mergeCell ref="BN12:BR12"/>
    <mergeCell ref="BS12:BW12"/>
    <mergeCell ref="BX12:CB12"/>
    <mergeCell ref="CC12:CG12"/>
    <mergeCell ref="CH12:CL12"/>
    <mergeCell ref="AE12:AI12"/>
    <mergeCell ref="AJ12:AN12"/>
    <mergeCell ref="AO12:AS12"/>
    <mergeCell ref="AT12:AX12"/>
    <mergeCell ref="AY12:BC12"/>
    <mergeCell ref="BD12:BH12"/>
    <mergeCell ref="A12:E12"/>
    <mergeCell ref="F12:J12"/>
    <mergeCell ref="K12:O12"/>
    <mergeCell ref="P12:T12"/>
    <mergeCell ref="U12:Y12"/>
    <mergeCell ref="Z12:AD12"/>
    <mergeCell ref="CM11:CQ11"/>
    <mergeCell ref="CR11:CV11"/>
    <mergeCell ref="CW11:DA11"/>
    <mergeCell ref="DB11:DF11"/>
    <mergeCell ref="DG11:DK11"/>
    <mergeCell ref="DL11:DP11"/>
    <mergeCell ref="BI11:BM11"/>
    <mergeCell ref="BN11:BR11"/>
    <mergeCell ref="BS11:BW11"/>
    <mergeCell ref="BX11:CB11"/>
    <mergeCell ref="CC11:CG11"/>
    <mergeCell ref="CH11:CL11"/>
    <mergeCell ref="AE11:AI11"/>
    <mergeCell ref="AJ11:AN11"/>
    <mergeCell ref="AO11:AS11"/>
    <mergeCell ref="AT11:AX11"/>
    <mergeCell ref="AY11:BC11"/>
    <mergeCell ref="BD11:BH11"/>
    <mergeCell ref="A11:E11"/>
    <mergeCell ref="F11:J11"/>
    <mergeCell ref="K11:O11"/>
    <mergeCell ref="P11:T11"/>
    <mergeCell ref="U11:Y11"/>
    <mergeCell ref="Z11:AD11"/>
    <mergeCell ref="CM10:CQ10"/>
    <mergeCell ref="CR10:CV10"/>
    <mergeCell ref="CW10:DA10"/>
    <mergeCell ref="DB10:DF10"/>
    <mergeCell ref="DG10:DK10"/>
    <mergeCell ref="DL10:DP10"/>
    <mergeCell ref="BI10:BM10"/>
    <mergeCell ref="BN10:BR10"/>
    <mergeCell ref="BS10:BW10"/>
    <mergeCell ref="BX10:CB10"/>
    <mergeCell ref="CC10:CG10"/>
    <mergeCell ref="CH10:CL10"/>
    <mergeCell ref="AE10:AI10"/>
    <mergeCell ref="AJ10:AN10"/>
    <mergeCell ref="AO10:AS10"/>
    <mergeCell ref="AT10:AX10"/>
    <mergeCell ref="AY10:BC10"/>
    <mergeCell ref="BD10:BH10"/>
    <mergeCell ref="A10:E10"/>
    <mergeCell ref="F10:J10"/>
    <mergeCell ref="K10:O10"/>
    <mergeCell ref="P10:T10"/>
    <mergeCell ref="U10:Y10"/>
    <mergeCell ref="Z10:AD10"/>
    <mergeCell ref="CM9:CQ9"/>
    <mergeCell ref="CR9:CV9"/>
    <mergeCell ref="CW9:DA9"/>
    <mergeCell ref="DB9:DF9"/>
    <mergeCell ref="DG9:DK9"/>
    <mergeCell ref="DL9:DP9"/>
    <mergeCell ref="BI9:BM9"/>
    <mergeCell ref="BN9:BR9"/>
    <mergeCell ref="BS9:BW9"/>
    <mergeCell ref="BX9:CB9"/>
    <mergeCell ref="CC9:CG9"/>
    <mergeCell ref="CH9:CL9"/>
    <mergeCell ref="AE9:AI9"/>
    <mergeCell ref="AJ9:AN9"/>
    <mergeCell ref="AO9:AS9"/>
    <mergeCell ref="AT9:AX9"/>
    <mergeCell ref="AY9:BC9"/>
    <mergeCell ref="BD9:BH9"/>
    <mergeCell ref="A9:E9"/>
    <mergeCell ref="F9:J9"/>
    <mergeCell ref="K9:O9"/>
    <mergeCell ref="P9:T9"/>
    <mergeCell ref="U9:Y9"/>
    <mergeCell ref="Z9:AD9"/>
    <mergeCell ref="CM8:CQ8"/>
    <mergeCell ref="CR8:CV8"/>
    <mergeCell ref="CW8:DA8"/>
    <mergeCell ref="DB8:DF8"/>
    <mergeCell ref="DG8:DK8"/>
    <mergeCell ref="DL8:DP8"/>
    <mergeCell ref="BI8:BM8"/>
    <mergeCell ref="BN8:BR8"/>
    <mergeCell ref="BS8:BW8"/>
    <mergeCell ref="BX8:CB8"/>
    <mergeCell ref="CC8:CG8"/>
    <mergeCell ref="CH8:CL8"/>
    <mergeCell ref="AE8:AI8"/>
    <mergeCell ref="AJ8:AN8"/>
    <mergeCell ref="AO8:AS8"/>
    <mergeCell ref="AT8:AX8"/>
    <mergeCell ref="AY8:BC8"/>
    <mergeCell ref="BD8:BH8"/>
    <mergeCell ref="A8:E8"/>
    <mergeCell ref="F8:J8"/>
    <mergeCell ref="K8:O8"/>
    <mergeCell ref="P8:T8"/>
    <mergeCell ref="U8:Y8"/>
    <mergeCell ref="Z8:AD8"/>
    <mergeCell ref="CM7:CQ7"/>
    <mergeCell ref="CR7:CV7"/>
    <mergeCell ref="CW7:DA7"/>
    <mergeCell ref="DB7:DF7"/>
    <mergeCell ref="DG7:DK7"/>
    <mergeCell ref="DL7:DP7"/>
    <mergeCell ref="BI7:BM7"/>
    <mergeCell ref="BN7:BR7"/>
    <mergeCell ref="BS7:BW7"/>
    <mergeCell ref="BX7:CB7"/>
    <mergeCell ref="CC7:CG7"/>
    <mergeCell ref="CH7:CL7"/>
    <mergeCell ref="AE7:AI7"/>
    <mergeCell ref="AJ7:AN7"/>
    <mergeCell ref="AO7:AS7"/>
    <mergeCell ref="AT7:AX7"/>
    <mergeCell ref="AY7:BC7"/>
    <mergeCell ref="BD7:BH7"/>
    <mergeCell ref="CW6:DA6"/>
    <mergeCell ref="DB6:DF6"/>
    <mergeCell ref="DG6:DK6"/>
    <mergeCell ref="DL6:DP6"/>
    <mergeCell ref="A7:E7"/>
    <mergeCell ref="F7:J7"/>
    <mergeCell ref="K7:O7"/>
    <mergeCell ref="P7:T7"/>
    <mergeCell ref="U7:Y7"/>
    <mergeCell ref="Z7:AD7"/>
    <mergeCell ref="BS6:BW6"/>
    <mergeCell ref="BX6:CB6"/>
    <mergeCell ref="CC6:CG6"/>
    <mergeCell ref="CH6:CL6"/>
    <mergeCell ref="CM6:CQ6"/>
    <mergeCell ref="CR6:CV6"/>
    <mergeCell ref="AO6:AS6"/>
    <mergeCell ref="AT6:AX6"/>
    <mergeCell ref="AY6:BC6"/>
    <mergeCell ref="BD6:BH6"/>
    <mergeCell ref="BI6:BM6"/>
    <mergeCell ref="BN6:BR6"/>
    <mergeCell ref="DG5:DK5"/>
    <mergeCell ref="DL5:DP5"/>
    <mergeCell ref="A6:E6"/>
    <mergeCell ref="F6:J6"/>
    <mergeCell ref="K6:O6"/>
    <mergeCell ref="P6:T6"/>
    <mergeCell ref="U6:Y6"/>
    <mergeCell ref="Z6:AD6"/>
    <mergeCell ref="AE6:AI6"/>
    <mergeCell ref="AJ6:AN6"/>
    <mergeCell ref="CC5:CG5"/>
    <mergeCell ref="CH5:CL5"/>
    <mergeCell ref="CM5:CQ5"/>
    <mergeCell ref="CR5:CV5"/>
    <mergeCell ref="CW5:DA5"/>
    <mergeCell ref="DB5:DF5"/>
    <mergeCell ref="AY5:BC5"/>
    <mergeCell ref="BD5:BH5"/>
    <mergeCell ref="BI5:BM5"/>
    <mergeCell ref="BN5:BR5"/>
    <mergeCell ref="BS5:BW5"/>
    <mergeCell ref="BX5:CB5"/>
    <mergeCell ref="U5:Y5"/>
    <mergeCell ref="Z5:AD5"/>
    <mergeCell ref="AE5:AI5"/>
    <mergeCell ref="AJ5:AN5"/>
    <mergeCell ref="AO5:AS5"/>
    <mergeCell ref="AT5:AX5"/>
    <mergeCell ref="BI4:BR4"/>
    <mergeCell ref="BS4:CB4"/>
    <mergeCell ref="CC4:CL4"/>
    <mergeCell ref="CM4:CV4"/>
    <mergeCell ref="CW4:DF4"/>
    <mergeCell ref="DG4:DP4"/>
    <mergeCell ref="A3:E5"/>
    <mergeCell ref="F3:J5"/>
    <mergeCell ref="K3:T3"/>
    <mergeCell ref="U3:DP3"/>
    <mergeCell ref="K4:O5"/>
    <mergeCell ref="P4:T5"/>
    <mergeCell ref="U4:AD4"/>
    <mergeCell ref="AE4:AN4"/>
    <mergeCell ref="AO4:AX4"/>
    <mergeCell ref="AY4:BH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&amp;P+49 -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6">
      <selection activeCell="J35" sqref="J35"/>
    </sheetView>
  </sheetViews>
  <sheetFormatPr defaultColWidth="9.00390625" defaultRowHeight="13.5"/>
  <cols>
    <col min="3" max="4" width="8.50390625" style="60" customWidth="1"/>
    <col min="5" max="5" width="8.50390625" style="0" customWidth="1"/>
    <col min="6" max="20" width="8.50390625" style="60" customWidth="1"/>
  </cols>
  <sheetData>
    <row r="1" spans="1:23" ht="15.75" customHeight="1">
      <c r="A1" t="s">
        <v>314</v>
      </c>
      <c r="E1" s="27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27"/>
      <c r="V1" s="27"/>
      <c r="W1" s="27"/>
    </row>
    <row r="2" spans="9:23" ht="5.25" customHeight="1" thickBot="1">
      <c r="I2" s="328"/>
      <c r="J2" s="328"/>
      <c r="K2" s="328"/>
      <c r="L2" s="328"/>
      <c r="M2" s="328"/>
      <c r="Q2" s="750"/>
      <c r="R2" s="328"/>
      <c r="S2" s="328"/>
      <c r="T2" s="328"/>
      <c r="U2" s="27"/>
      <c r="V2" s="27"/>
      <c r="W2" s="27"/>
    </row>
    <row r="3" spans="1:23" ht="18" customHeight="1">
      <c r="A3" s="152" t="s">
        <v>315</v>
      </c>
      <c r="B3" s="751" t="s">
        <v>316</v>
      </c>
      <c r="C3" s="128" t="s">
        <v>19</v>
      </c>
      <c r="D3" s="129"/>
      <c r="E3" s="752" t="s">
        <v>317</v>
      </c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4"/>
      <c r="U3" s="27"/>
      <c r="V3" s="27"/>
      <c r="W3" s="27"/>
    </row>
    <row r="4" spans="1:23" ht="18.75" customHeight="1">
      <c r="A4" s="459"/>
      <c r="B4" s="755"/>
      <c r="C4" s="756" t="s">
        <v>318</v>
      </c>
      <c r="D4" s="756" t="s">
        <v>319</v>
      </c>
      <c r="E4" s="755" t="s">
        <v>320</v>
      </c>
      <c r="F4" s="460"/>
      <c r="G4" s="726" t="s">
        <v>321</v>
      </c>
      <c r="H4" s="757"/>
      <c r="I4" s="726" t="s">
        <v>322</v>
      </c>
      <c r="J4" s="757"/>
      <c r="K4" s="726" t="s">
        <v>323</v>
      </c>
      <c r="L4" s="757"/>
      <c r="M4" s="726" t="s">
        <v>324</v>
      </c>
      <c r="N4" s="757"/>
      <c r="O4" s="726" t="s">
        <v>325</v>
      </c>
      <c r="P4" s="757"/>
      <c r="Q4" s="726" t="s">
        <v>326</v>
      </c>
      <c r="R4" s="757"/>
      <c r="S4" s="726" t="s">
        <v>327</v>
      </c>
      <c r="T4" s="758"/>
      <c r="U4" s="27"/>
      <c r="V4" s="27"/>
      <c r="W4" s="27"/>
    </row>
    <row r="5" spans="1:23" ht="26.25" customHeight="1">
      <c r="A5" s="459"/>
      <c r="B5" s="755"/>
      <c r="C5" s="759"/>
      <c r="D5" s="759"/>
      <c r="E5" s="760" t="s">
        <v>294</v>
      </c>
      <c r="F5" s="761" t="s">
        <v>295</v>
      </c>
      <c r="G5" s="762" t="s">
        <v>294</v>
      </c>
      <c r="H5" s="761" t="s">
        <v>295</v>
      </c>
      <c r="I5" s="762" t="s">
        <v>294</v>
      </c>
      <c r="J5" s="761" t="s">
        <v>295</v>
      </c>
      <c r="K5" s="762" t="s">
        <v>294</v>
      </c>
      <c r="L5" s="761" t="s">
        <v>295</v>
      </c>
      <c r="M5" s="762" t="s">
        <v>294</v>
      </c>
      <c r="N5" s="761" t="s">
        <v>295</v>
      </c>
      <c r="O5" s="762" t="s">
        <v>294</v>
      </c>
      <c r="P5" s="761" t="s">
        <v>295</v>
      </c>
      <c r="Q5" s="762" t="s">
        <v>294</v>
      </c>
      <c r="R5" s="761" t="s">
        <v>295</v>
      </c>
      <c r="S5" s="762" t="s">
        <v>294</v>
      </c>
      <c r="T5" s="763" t="s">
        <v>295</v>
      </c>
      <c r="U5" s="27"/>
      <c r="V5" s="27"/>
      <c r="W5" s="27"/>
    </row>
    <row r="6" spans="1:23" ht="20.25" customHeight="1">
      <c r="A6" s="678" t="s">
        <v>328</v>
      </c>
      <c r="B6" s="764">
        <f>SUM(B7:B18)</f>
        <v>1776</v>
      </c>
      <c r="C6" s="765">
        <f aca="true" t="shared" si="0" ref="C6:T6">SUM(C7:C18)</f>
        <v>745</v>
      </c>
      <c r="D6" s="562">
        <f>SUM(D7:D18)</f>
        <v>18963</v>
      </c>
      <c r="E6" s="766">
        <f>SUM(E7:E18)</f>
        <v>101</v>
      </c>
      <c r="F6" s="562">
        <f t="shared" si="0"/>
        <v>253</v>
      </c>
      <c r="G6" s="562">
        <f t="shared" si="0"/>
        <v>112</v>
      </c>
      <c r="H6" s="562">
        <f t="shared" si="0"/>
        <v>714</v>
      </c>
      <c r="I6" s="562">
        <f t="shared" si="0"/>
        <v>175</v>
      </c>
      <c r="J6" s="562">
        <f t="shared" si="0"/>
        <v>2146</v>
      </c>
      <c r="K6" s="562">
        <f t="shared" si="0"/>
        <v>131</v>
      </c>
      <c r="L6" s="562">
        <f t="shared" si="0"/>
        <v>2959</v>
      </c>
      <c r="M6" s="562">
        <f t="shared" si="0"/>
        <v>70</v>
      </c>
      <c r="N6" s="562">
        <f t="shared" si="0"/>
        <v>2290</v>
      </c>
      <c r="O6" s="562">
        <f t="shared" si="0"/>
        <v>43</v>
      </c>
      <c r="P6" s="562">
        <f t="shared" si="0"/>
        <v>1854</v>
      </c>
      <c r="Q6" s="562">
        <f t="shared" si="0"/>
        <v>93</v>
      </c>
      <c r="R6" s="562">
        <f t="shared" si="0"/>
        <v>5948</v>
      </c>
      <c r="S6" s="562">
        <f t="shared" si="0"/>
        <v>20</v>
      </c>
      <c r="T6" s="767">
        <f t="shared" si="0"/>
        <v>2799</v>
      </c>
      <c r="U6" s="27"/>
      <c r="V6" s="27"/>
      <c r="W6" s="27"/>
    </row>
    <row r="7" spans="1:23" ht="20.25" customHeight="1">
      <c r="A7" s="678" t="s">
        <v>329</v>
      </c>
      <c r="B7" s="766">
        <v>134</v>
      </c>
      <c r="C7" s="562">
        <f>E7+G7+I7+K7+M7+O7+Q7+S7</f>
        <v>18</v>
      </c>
      <c r="D7" s="562">
        <f>F7+H7+J7+L7+N7+P7+R7+T7</f>
        <v>195</v>
      </c>
      <c r="E7" s="766">
        <v>5</v>
      </c>
      <c r="F7" s="562">
        <v>11</v>
      </c>
      <c r="G7" s="562">
        <v>4</v>
      </c>
      <c r="H7" s="562">
        <v>22</v>
      </c>
      <c r="I7" s="562">
        <f>5+2</f>
        <v>7</v>
      </c>
      <c r="J7" s="562">
        <f>56+36</f>
        <v>92</v>
      </c>
      <c r="K7" s="562">
        <v>1</v>
      </c>
      <c r="L7" s="562">
        <v>20</v>
      </c>
      <c r="M7" s="562">
        <v>0</v>
      </c>
      <c r="N7" s="562">
        <v>0</v>
      </c>
      <c r="O7" s="562">
        <v>0</v>
      </c>
      <c r="P7" s="562">
        <v>0</v>
      </c>
      <c r="Q7" s="562">
        <v>1</v>
      </c>
      <c r="R7" s="562">
        <v>50</v>
      </c>
      <c r="S7" s="562">
        <v>0</v>
      </c>
      <c r="T7" s="767">
        <v>0</v>
      </c>
      <c r="U7" s="27"/>
      <c r="V7" s="27"/>
      <c r="W7" s="27"/>
    </row>
    <row r="8" spans="1:23" ht="20.25" customHeight="1">
      <c r="A8" s="678" t="s">
        <v>330</v>
      </c>
      <c r="B8" s="766">
        <v>130</v>
      </c>
      <c r="C8" s="562">
        <f aca="true" t="shared" si="1" ref="C8:D18">E8+G8+I8+K8+M8+O8+Q8+S8</f>
        <v>30</v>
      </c>
      <c r="D8" s="562">
        <f t="shared" si="1"/>
        <v>539</v>
      </c>
      <c r="E8" s="766">
        <v>6</v>
      </c>
      <c r="F8" s="562">
        <v>12</v>
      </c>
      <c r="G8" s="562">
        <v>3</v>
      </c>
      <c r="H8" s="562">
        <v>19</v>
      </c>
      <c r="I8" s="562">
        <f>8+1</f>
        <v>9</v>
      </c>
      <c r="J8" s="562">
        <f>91+17</f>
        <v>108</v>
      </c>
      <c r="K8" s="562">
        <v>4</v>
      </c>
      <c r="L8" s="562">
        <v>88</v>
      </c>
      <c r="M8" s="562">
        <v>5</v>
      </c>
      <c r="N8" s="562">
        <v>172</v>
      </c>
      <c r="O8" s="562">
        <v>1</v>
      </c>
      <c r="P8" s="562">
        <v>40</v>
      </c>
      <c r="Q8" s="562">
        <v>2</v>
      </c>
      <c r="R8" s="562">
        <v>100</v>
      </c>
      <c r="S8" s="562">
        <v>0</v>
      </c>
      <c r="T8" s="767">
        <v>0</v>
      </c>
      <c r="U8" s="27"/>
      <c r="V8" s="27"/>
      <c r="W8" s="27"/>
    </row>
    <row r="9" spans="1:23" ht="20.25" customHeight="1">
      <c r="A9" s="678" t="s">
        <v>331</v>
      </c>
      <c r="B9" s="766">
        <v>74</v>
      </c>
      <c r="C9" s="562">
        <f t="shared" si="1"/>
        <v>68</v>
      </c>
      <c r="D9" s="562">
        <f t="shared" si="1"/>
        <v>2027</v>
      </c>
      <c r="E9" s="766">
        <v>9</v>
      </c>
      <c r="F9" s="562">
        <v>14</v>
      </c>
      <c r="G9" s="562">
        <v>9</v>
      </c>
      <c r="H9" s="562">
        <v>64</v>
      </c>
      <c r="I9" s="562">
        <f>7+2</f>
        <v>9</v>
      </c>
      <c r="J9" s="562">
        <f>72+33</f>
        <v>105</v>
      </c>
      <c r="K9" s="562">
        <v>13</v>
      </c>
      <c r="L9" s="562">
        <v>289</v>
      </c>
      <c r="M9" s="562">
        <v>10</v>
      </c>
      <c r="N9" s="562">
        <v>328</v>
      </c>
      <c r="O9" s="562">
        <v>5</v>
      </c>
      <c r="P9" s="562">
        <v>226</v>
      </c>
      <c r="Q9" s="562">
        <v>10</v>
      </c>
      <c r="R9" s="562">
        <v>597</v>
      </c>
      <c r="S9" s="562">
        <f>2+1</f>
        <v>3</v>
      </c>
      <c r="T9" s="767">
        <f>224+180</f>
        <v>404</v>
      </c>
      <c r="U9" s="27"/>
      <c r="V9" s="27"/>
      <c r="W9" s="27"/>
    </row>
    <row r="10" spans="1:23" ht="20.25" customHeight="1">
      <c r="A10" s="678" t="s">
        <v>332</v>
      </c>
      <c r="B10" s="766">
        <v>23</v>
      </c>
      <c r="C10" s="562">
        <f t="shared" si="1"/>
        <v>19</v>
      </c>
      <c r="D10" s="562">
        <f t="shared" si="1"/>
        <v>701</v>
      </c>
      <c r="E10" s="766">
        <v>0</v>
      </c>
      <c r="F10" s="562">
        <v>0</v>
      </c>
      <c r="G10" s="562">
        <v>1</v>
      </c>
      <c r="H10" s="562">
        <v>5</v>
      </c>
      <c r="I10" s="562">
        <f>2+3</f>
        <v>5</v>
      </c>
      <c r="J10" s="562">
        <f>23+46</f>
        <v>69</v>
      </c>
      <c r="K10" s="562">
        <v>4</v>
      </c>
      <c r="L10" s="562">
        <v>93</v>
      </c>
      <c r="M10" s="562">
        <v>2</v>
      </c>
      <c r="N10" s="562">
        <v>65</v>
      </c>
      <c r="O10" s="562">
        <v>3</v>
      </c>
      <c r="P10" s="562">
        <v>131</v>
      </c>
      <c r="Q10" s="562">
        <v>3</v>
      </c>
      <c r="R10" s="562">
        <v>236</v>
      </c>
      <c r="S10" s="562">
        <v>1</v>
      </c>
      <c r="T10" s="767">
        <v>102</v>
      </c>
      <c r="U10" s="27"/>
      <c r="V10" s="27"/>
      <c r="W10" s="27"/>
    </row>
    <row r="11" spans="1:23" ht="20.25" customHeight="1">
      <c r="A11" s="678" t="s">
        <v>333</v>
      </c>
      <c r="B11" s="766">
        <v>13</v>
      </c>
      <c r="C11" s="562">
        <f t="shared" si="1"/>
        <v>20</v>
      </c>
      <c r="D11" s="562">
        <f t="shared" si="1"/>
        <v>694</v>
      </c>
      <c r="E11" s="766">
        <v>1</v>
      </c>
      <c r="F11" s="562">
        <v>2</v>
      </c>
      <c r="G11" s="562">
        <v>0</v>
      </c>
      <c r="H11" s="562">
        <v>0</v>
      </c>
      <c r="I11" s="562">
        <f>4+2</f>
        <v>6</v>
      </c>
      <c r="J11" s="562">
        <f>45+30</f>
        <v>75</v>
      </c>
      <c r="K11" s="562">
        <v>3</v>
      </c>
      <c r="L11" s="562">
        <v>67</v>
      </c>
      <c r="M11" s="562">
        <v>3</v>
      </c>
      <c r="N11" s="562">
        <v>97</v>
      </c>
      <c r="O11" s="562">
        <v>1</v>
      </c>
      <c r="P11" s="562">
        <v>45</v>
      </c>
      <c r="Q11" s="562">
        <v>5</v>
      </c>
      <c r="R11" s="562">
        <v>288</v>
      </c>
      <c r="S11" s="562">
        <v>1</v>
      </c>
      <c r="T11" s="767">
        <v>120</v>
      </c>
      <c r="U11" s="27"/>
      <c r="V11" s="27"/>
      <c r="W11" s="27"/>
    </row>
    <row r="12" spans="1:23" ht="20.25" customHeight="1">
      <c r="A12" s="678" t="s">
        <v>334</v>
      </c>
      <c r="B12" s="766">
        <v>298</v>
      </c>
      <c r="C12" s="562">
        <f t="shared" si="1"/>
        <v>171</v>
      </c>
      <c r="D12" s="562">
        <f t="shared" si="1"/>
        <v>4046</v>
      </c>
      <c r="E12" s="766">
        <v>26</v>
      </c>
      <c r="F12" s="562">
        <v>76</v>
      </c>
      <c r="G12" s="562">
        <v>28</v>
      </c>
      <c r="H12" s="562">
        <v>187</v>
      </c>
      <c r="I12" s="562">
        <f>26+11</f>
        <v>37</v>
      </c>
      <c r="J12" s="562">
        <f>280+172</f>
        <v>452</v>
      </c>
      <c r="K12" s="562">
        <v>31</v>
      </c>
      <c r="L12" s="562">
        <v>715</v>
      </c>
      <c r="M12" s="562">
        <v>14</v>
      </c>
      <c r="N12" s="562">
        <v>444</v>
      </c>
      <c r="O12" s="562">
        <v>6</v>
      </c>
      <c r="P12" s="562">
        <v>253</v>
      </c>
      <c r="Q12" s="562">
        <v>27</v>
      </c>
      <c r="R12" s="562">
        <v>1704</v>
      </c>
      <c r="S12" s="562">
        <v>2</v>
      </c>
      <c r="T12" s="767">
        <v>215</v>
      </c>
      <c r="U12" s="27"/>
      <c r="V12" s="27"/>
      <c r="W12" s="27"/>
    </row>
    <row r="13" spans="1:23" ht="20.25" customHeight="1">
      <c r="A13" s="678" t="s">
        <v>335</v>
      </c>
      <c r="B13" s="766">
        <v>132</v>
      </c>
      <c r="C13" s="562">
        <f t="shared" si="1"/>
        <v>128</v>
      </c>
      <c r="D13" s="562">
        <f t="shared" si="1"/>
        <v>4722</v>
      </c>
      <c r="E13" s="766">
        <v>10</v>
      </c>
      <c r="F13" s="562">
        <v>20</v>
      </c>
      <c r="G13" s="562">
        <v>9</v>
      </c>
      <c r="H13" s="562">
        <v>57</v>
      </c>
      <c r="I13" s="562">
        <f>23+7</f>
        <v>30</v>
      </c>
      <c r="J13" s="562">
        <f>261+111</f>
        <v>372</v>
      </c>
      <c r="K13" s="562">
        <v>28</v>
      </c>
      <c r="L13" s="562">
        <v>648</v>
      </c>
      <c r="M13" s="562">
        <v>12</v>
      </c>
      <c r="N13" s="562">
        <v>411</v>
      </c>
      <c r="O13" s="562">
        <v>8</v>
      </c>
      <c r="P13" s="562">
        <v>347</v>
      </c>
      <c r="Q13" s="562">
        <v>24</v>
      </c>
      <c r="R13" s="562">
        <v>1622</v>
      </c>
      <c r="S13" s="562">
        <f>4+1+2</f>
        <v>7</v>
      </c>
      <c r="T13" s="767">
        <f>476+208+561</f>
        <v>1245</v>
      </c>
      <c r="U13" s="27"/>
      <c r="V13" s="27"/>
      <c r="W13" s="27"/>
    </row>
    <row r="14" spans="1:23" ht="20.25" customHeight="1">
      <c r="A14" s="678" t="s">
        <v>336</v>
      </c>
      <c r="B14" s="766">
        <v>30</v>
      </c>
      <c r="C14" s="562">
        <f t="shared" si="1"/>
        <v>7</v>
      </c>
      <c r="D14" s="562">
        <f t="shared" si="1"/>
        <v>156</v>
      </c>
      <c r="E14" s="766">
        <v>2</v>
      </c>
      <c r="F14" s="562">
        <v>6</v>
      </c>
      <c r="G14" s="562">
        <v>1</v>
      </c>
      <c r="H14" s="562">
        <v>7</v>
      </c>
      <c r="I14" s="562">
        <v>1</v>
      </c>
      <c r="J14" s="562">
        <f>10+0</f>
        <v>10</v>
      </c>
      <c r="K14" s="562">
        <v>1</v>
      </c>
      <c r="L14" s="562">
        <v>25</v>
      </c>
      <c r="M14" s="562">
        <v>0</v>
      </c>
      <c r="N14" s="562">
        <v>0</v>
      </c>
      <c r="O14" s="562">
        <v>1</v>
      </c>
      <c r="P14" s="562">
        <v>40</v>
      </c>
      <c r="Q14" s="562">
        <v>1</v>
      </c>
      <c r="R14" s="562">
        <v>68</v>
      </c>
      <c r="S14" s="562">
        <v>0</v>
      </c>
      <c r="T14" s="767">
        <v>0</v>
      </c>
      <c r="U14" s="27"/>
      <c r="V14" s="27"/>
      <c r="W14" s="27"/>
    </row>
    <row r="15" spans="1:22" ht="20.25" customHeight="1">
      <c r="A15" s="678" t="s">
        <v>337</v>
      </c>
      <c r="B15" s="766">
        <v>159</v>
      </c>
      <c r="C15" s="562">
        <f t="shared" si="1"/>
        <v>38</v>
      </c>
      <c r="D15" s="562">
        <f t="shared" si="1"/>
        <v>615</v>
      </c>
      <c r="E15" s="766">
        <v>8</v>
      </c>
      <c r="F15" s="562">
        <v>23</v>
      </c>
      <c r="G15" s="562">
        <v>7</v>
      </c>
      <c r="H15" s="562">
        <v>36</v>
      </c>
      <c r="I15" s="562">
        <f>6+3</f>
        <v>9</v>
      </c>
      <c r="J15" s="562">
        <f>67+47</f>
        <v>114</v>
      </c>
      <c r="K15" s="562">
        <v>8</v>
      </c>
      <c r="L15" s="562">
        <v>181</v>
      </c>
      <c r="M15" s="562">
        <v>2</v>
      </c>
      <c r="N15" s="562">
        <v>60</v>
      </c>
      <c r="O15" s="562">
        <v>2</v>
      </c>
      <c r="P15" s="562">
        <v>81</v>
      </c>
      <c r="Q15" s="562">
        <v>2</v>
      </c>
      <c r="R15" s="562">
        <v>120</v>
      </c>
      <c r="S15" s="562">
        <v>0</v>
      </c>
      <c r="T15" s="767">
        <v>0</v>
      </c>
      <c r="U15" s="27"/>
      <c r="V15" s="27"/>
    </row>
    <row r="16" spans="1:22" ht="20.25" customHeight="1">
      <c r="A16" s="678" t="s">
        <v>338</v>
      </c>
      <c r="B16" s="766">
        <v>354</v>
      </c>
      <c r="C16" s="562">
        <f t="shared" si="1"/>
        <v>112</v>
      </c>
      <c r="D16" s="562">
        <f t="shared" si="1"/>
        <v>2182</v>
      </c>
      <c r="E16" s="562">
        <v>17</v>
      </c>
      <c r="F16" s="562">
        <v>43</v>
      </c>
      <c r="G16" s="562">
        <v>24</v>
      </c>
      <c r="H16" s="562">
        <v>148</v>
      </c>
      <c r="I16" s="562">
        <f>20+9</f>
        <v>29</v>
      </c>
      <c r="J16" s="562">
        <f>221+144</f>
        <v>365</v>
      </c>
      <c r="K16" s="562">
        <v>16</v>
      </c>
      <c r="L16" s="562">
        <v>341</v>
      </c>
      <c r="M16" s="562">
        <v>9</v>
      </c>
      <c r="N16" s="562">
        <v>281</v>
      </c>
      <c r="O16" s="562">
        <v>9</v>
      </c>
      <c r="P16" s="562">
        <v>387</v>
      </c>
      <c r="Q16" s="562">
        <v>6</v>
      </c>
      <c r="R16" s="562">
        <v>402</v>
      </c>
      <c r="S16" s="562">
        <v>2</v>
      </c>
      <c r="T16" s="767">
        <v>215</v>
      </c>
      <c r="U16" s="27"/>
      <c r="V16" s="27"/>
    </row>
    <row r="17" spans="1:22" ht="20.25" customHeight="1">
      <c r="A17" s="678" t="s">
        <v>339</v>
      </c>
      <c r="B17" s="766">
        <v>173</v>
      </c>
      <c r="C17" s="562">
        <f t="shared" si="1"/>
        <v>74</v>
      </c>
      <c r="D17" s="562">
        <f t="shared" si="1"/>
        <v>1950</v>
      </c>
      <c r="E17" s="766">
        <v>4</v>
      </c>
      <c r="F17" s="562">
        <v>14</v>
      </c>
      <c r="G17" s="562">
        <v>13</v>
      </c>
      <c r="H17" s="562">
        <v>81</v>
      </c>
      <c r="I17" s="562">
        <f>14+3</f>
        <v>17</v>
      </c>
      <c r="J17" s="562">
        <f>148+49</f>
        <v>197</v>
      </c>
      <c r="K17" s="562">
        <v>14</v>
      </c>
      <c r="L17" s="562">
        <v>301</v>
      </c>
      <c r="M17" s="562">
        <v>10</v>
      </c>
      <c r="N17" s="562">
        <v>330</v>
      </c>
      <c r="O17" s="562">
        <v>6</v>
      </c>
      <c r="P17" s="562">
        <v>255</v>
      </c>
      <c r="Q17" s="562">
        <v>7</v>
      </c>
      <c r="R17" s="562">
        <v>429</v>
      </c>
      <c r="S17" s="562">
        <v>3</v>
      </c>
      <c r="T17" s="767">
        <v>343</v>
      </c>
      <c r="U17" s="27"/>
      <c r="V17" s="27"/>
    </row>
    <row r="18" spans="1:21" ht="20.25" customHeight="1" thickBot="1">
      <c r="A18" s="689" t="s">
        <v>340</v>
      </c>
      <c r="B18" s="768">
        <v>256</v>
      </c>
      <c r="C18" s="570">
        <f t="shared" si="1"/>
        <v>60</v>
      </c>
      <c r="D18" s="570">
        <f t="shared" si="1"/>
        <v>1136</v>
      </c>
      <c r="E18" s="768">
        <v>13</v>
      </c>
      <c r="F18" s="570">
        <v>32</v>
      </c>
      <c r="G18" s="570">
        <v>13</v>
      </c>
      <c r="H18" s="570">
        <v>88</v>
      </c>
      <c r="I18" s="570">
        <f>12+4</f>
        <v>16</v>
      </c>
      <c r="J18" s="570">
        <f>126+61</f>
        <v>187</v>
      </c>
      <c r="K18" s="570">
        <v>8</v>
      </c>
      <c r="L18" s="570">
        <v>191</v>
      </c>
      <c r="M18" s="570">
        <v>3</v>
      </c>
      <c r="N18" s="570">
        <v>102</v>
      </c>
      <c r="O18" s="570">
        <v>1</v>
      </c>
      <c r="P18" s="570">
        <v>49</v>
      </c>
      <c r="Q18" s="570">
        <v>5</v>
      </c>
      <c r="R18" s="570">
        <v>332</v>
      </c>
      <c r="S18" s="570">
        <v>1</v>
      </c>
      <c r="T18" s="769">
        <v>155</v>
      </c>
      <c r="U18" s="27"/>
    </row>
    <row r="19" spans="2:21" ht="8.25" customHeight="1">
      <c r="B19" s="27"/>
      <c r="H19" s="328"/>
      <c r="I19" s="328"/>
      <c r="J19" s="328"/>
      <c r="S19" s="328"/>
      <c r="T19" s="328"/>
      <c r="U19" s="27"/>
    </row>
    <row r="20" spans="2:21" ht="8.25" customHeight="1">
      <c r="B20" s="27"/>
      <c r="H20" s="328"/>
      <c r="I20" s="328"/>
      <c r="J20" s="328"/>
      <c r="S20" s="328"/>
      <c r="T20" s="328"/>
      <c r="U20" s="27"/>
    </row>
    <row r="21" spans="8:21" ht="8.25" customHeight="1">
      <c r="H21" s="328"/>
      <c r="I21" s="328"/>
      <c r="J21" s="328"/>
      <c r="S21" s="328"/>
      <c r="T21" s="328"/>
      <c r="U21" s="27"/>
    </row>
    <row r="22" spans="1:10" ht="21.75" customHeight="1">
      <c r="A22" s="21" t="s">
        <v>341</v>
      </c>
      <c r="H22" s="328"/>
      <c r="I22" s="328"/>
      <c r="J22" s="328"/>
    </row>
    <row r="23" spans="8:10" ht="4.5" customHeight="1">
      <c r="H23" s="328"/>
      <c r="I23" s="328"/>
      <c r="J23" s="328"/>
    </row>
    <row r="24" spans="1:10" ht="17.25" customHeight="1">
      <c r="A24" t="s">
        <v>342</v>
      </c>
      <c r="H24" s="328"/>
      <c r="I24" s="328"/>
      <c r="J24" s="328"/>
    </row>
    <row r="25" spans="21:23" ht="6.75" customHeight="1" thickBot="1">
      <c r="U25" s="27"/>
      <c r="V25" s="27"/>
      <c r="W25" s="27"/>
    </row>
    <row r="26" spans="1:20" ht="15.75" customHeight="1">
      <c r="A26" s="152" t="s">
        <v>52</v>
      </c>
      <c r="B26" s="144"/>
      <c r="C26" s="136" t="s">
        <v>343</v>
      </c>
      <c r="D26" s="136"/>
      <c r="E26" s="723" t="s">
        <v>344</v>
      </c>
      <c r="F26" s="723"/>
      <c r="G26" s="723" t="s">
        <v>345</v>
      </c>
      <c r="H26" s="770"/>
      <c r="I26" s="328"/>
      <c r="J26" s="328"/>
      <c r="K26" s="328"/>
      <c r="S26"/>
      <c r="T26"/>
    </row>
    <row r="27" spans="1:20" ht="15.75" customHeight="1">
      <c r="A27" s="722"/>
      <c r="B27" s="205"/>
      <c r="C27" s="118"/>
      <c r="D27" s="118"/>
      <c r="E27" s="727"/>
      <c r="F27" s="727"/>
      <c r="G27" s="727"/>
      <c r="H27" s="728"/>
      <c r="I27" s="328"/>
      <c r="J27" s="328"/>
      <c r="K27" s="328"/>
      <c r="S27"/>
      <c r="T27"/>
    </row>
    <row r="28" spans="1:20" ht="15.75" customHeight="1">
      <c r="A28" s="722"/>
      <c r="B28" s="205"/>
      <c r="C28" s="65" t="s">
        <v>346</v>
      </c>
      <c r="D28" s="554" t="s">
        <v>347</v>
      </c>
      <c r="E28" s="554" t="s">
        <v>346</v>
      </c>
      <c r="F28" s="554" t="s">
        <v>347</v>
      </c>
      <c r="G28" s="554" t="s">
        <v>346</v>
      </c>
      <c r="H28" s="771" t="s">
        <v>347</v>
      </c>
      <c r="I28" s="328"/>
      <c r="J28" s="328"/>
      <c r="K28" s="328"/>
      <c r="S28"/>
      <c r="T28"/>
    </row>
    <row r="29" spans="1:20" ht="21.75" customHeight="1">
      <c r="A29" s="264" t="s">
        <v>348</v>
      </c>
      <c r="B29" s="260"/>
      <c r="C29" s="772">
        <f aca="true" t="shared" si="2" ref="C29:H29">SUM(C30:C41)</f>
        <v>1616</v>
      </c>
      <c r="D29" s="772">
        <f t="shared" si="2"/>
        <v>1644</v>
      </c>
      <c r="E29" s="772">
        <f t="shared" si="2"/>
        <v>1954</v>
      </c>
      <c r="F29" s="772">
        <f t="shared" si="2"/>
        <v>2260</v>
      </c>
      <c r="G29" s="772">
        <f t="shared" si="2"/>
        <v>1591</v>
      </c>
      <c r="H29" s="773">
        <f t="shared" si="2"/>
        <v>1609</v>
      </c>
      <c r="I29" s="328"/>
      <c r="S29"/>
      <c r="T29"/>
    </row>
    <row r="30" spans="1:20" ht="21.75" customHeight="1">
      <c r="A30" s="264" t="s">
        <v>86</v>
      </c>
      <c r="B30" s="260"/>
      <c r="C30" s="774">
        <v>91</v>
      </c>
      <c r="D30" s="774">
        <v>92</v>
      </c>
      <c r="E30" s="774">
        <v>108</v>
      </c>
      <c r="F30" s="774">
        <v>130</v>
      </c>
      <c r="G30" s="774">
        <v>89</v>
      </c>
      <c r="H30" s="775">
        <v>89</v>
      </c>
      <c r="I30" s="328"/>
      <c r="J30" s="328"/>
      <c r="S30"/>
      <c r="T30"/>
    </row>
    <row r="31" spans="1:20" ht="21.75" customHeight="1">
      <c r="A31" s="264" t="s">
        <v>69</v>
      </c>
      <c r="B31" s="260"/>
      <c r="C31" s="774">
        <v>115</v>
      </c>
      <c r="D31" s="774">
        <v>116</v>
      </c>
      <c r="E31" s="774">
        <v>135</v>
      </c>
      <c r="F31" s="774">
        <v>144</v>
      </c>
      <c r="G31" s="774">
        <v>112</v>
      </c>
      <c r="H31" s="775">
        <v>113</v>
      </c>
      <c r="I31" s="328"/>
      <c r="S31"/>
      <c r="T31"/>
    </row>
    <row r="32" spans="1:20" ht="21.75" customHeight="1">
      <c r="A32" s="264" t="s">
        <v>222</v>
      </c>
      <c r="B32" s="260"/>
      <c r="C32" s="774">
        <v>111</v>
      </c>
      <c r="D32" s="774">
        <v>116</v>
      </c>
      <c r="E32" s="774">
        <v>123</v>
      </c>
      <c r="F32" s="774">
        <v>142</v>
      </c>
      <c r="G32" s="774">
        <v>109</v>
      </c>
      <c r="H32" s="775">
        <v>110</v>
      </c>
      <c r="I32" s="328"/>
      <c r="S32"/>
      <c r="T32"/>
    </row>
    <row r="33" spans="1:20" ht="21.75" customHeight="1">
      <c r="A33" s="264" t="s">
        <v>223</v>
      </c>
      <c r="B33" s="260"/>
      <c r="C33" s="774">
        <v>18</v>
      </c>
      <c r="D33" s="774">
        <v>18</v>
      </c>
      <c r="E33" s="774">
        <v>23</v>
      </c>
      <c r="F33" s="774">
        <v>23</v>
      </c>
      <c r="G33" s="774">
        <v>18</v>
      </c>
      <c r="H33" s="775">
        <v>18</v>
      </c>
      <c r="S33"/>
      <c r="T33"/>
    </row>
    <row r="34" spans="1:20" ht="21.75" customHeight="1">
      <c r="A34" s="264" t="s">
        <v>224</v>
      </c>
      <c r="B34" s="260"/>
      <c r="C34" s="774">
        <v>23</v>
      </c>
      <c r="D34" s="774">
        <v>23</v>
      </c>
      <c r="E34" s="774">
        <v>26</v>
      </c>
      <c r="F34" s="774">
        <v>27</v>
      </c>
      <c r="G34" s="774">
        <v>25</v>
      </c>
      <c r="H34" s="775">
        <v>26</v>
      </c>
      <c r="S34"/>
      <c r="T34"/>
    </row>
    <row r="35" spans="1:20" ht="21.75" customHeight="1">
      <c r="A35" s="264" t="s">
        <v>225</v>
      </c>
      <c r="B35" s="260"/>
      <c r="C35" s="774">
        <v>316</v>
      </c>
      <c r="D35" s="774">
        <v>324</v>
      </c>
      <c r="E35" s="774">
        <v>385</v>
      </c>
      <c r="F35" s="774">
        <v>429</v>
      </c>
      <c r="G35" s="774">
        <v>322</v>
      </c>
      <c r="H35" s="775">
        <v>325</v>
      </c>
      <c r="S35"/>
      <c r="T35"/>
    </row>
    <row r="36" spans="1:20" ht="21.75" customHeight="1">
      <c r="A36" s="264" t="s">
        <v>226</v>
      </c>
      <c r="B36" s="260"/>
      <c r="C36" s="774">
        <v>136</v>
      </c>
      <c r="D36" s="774">
        <v>137</v>
      </c>
      <c r="E36" s="774">
        <v>179</v>
      </c>
      <c r="F36" s="774">
        <v>214</v>
      </c>
      <c r="G36" s="774">
        <v>124</v>
      </c>
      <c r="H36" s="775">
        <v>125</v>
      </c>
      <c r="S36"/>
      <c r="T36"/>
    </row>
    <row r="37" spans="1:20" ht="21.75" customHeight="1">
      <c r="A37" s="264" t="s">
        <v>227</v>
      </c>
      <c r="B37" s="260"/>
      <c r="C37" s="774">
        <v>21</v>
      </c>
      <c r="D37" s="774">
        <v>22</v>
      </c>
      <c r="E37" s="774">
        <v>25</v>
      </c>
      <c r="F37" s="774">
        <v>30</v>
      </c>
      <c r="G37" s="774">
        <v>22</v>
      </c>
      <c r="H37" s="775">
        <v>23</v>
      </c>
      <c r="S37"/>
      <c r="T37"/>
    </row>
    <row r="38" spans="1:20" ht="21.75" customHeight="1">
      <c r="A38" s="264" t="s">
        <v>94</v>
      </c>
      <c r="B38" s="260"/>
      <c r="C38" s="774">
        <v>134</v>
      </c>
      <c r="D38" s="774">
        <v>134</v>
      </c>
      <c r="E38" s="774">
        <v>153</v>
      </c>
      <c r="F38" s="774">
        <v>165</v>
      </c>
      <c r="G38" s="774">
        <v>135</v>
      </c>
      <c r="H38" s="775">
        <v>139</v>
      </c>
      <c r="S38"/>
      <c r="T38"/>
    </row>
    <row r="39" spans="1:20" ht="21.75" customHeight="1">
      <c r="A39" s="264" t="s">
        <v>228</v>
      </c>
      <c r="B39" s="260"/>
      <c r="C39" s="776">
        <v>323</v>
      </c>
      <c r="D39" s="776">
        <v>332</v>
      </c>
      <c r="E39" s="776">
        <v>369</v>
      </c>
      <c r="F39" s="776">
        <v>426</v>
      </c>
      <c r="G39" s="776">
        <v>323</v>
      </c>
      <c r="H39" s="777">
        <v>328</v>
      </c>
      <c r="S39"/>
      <c r="T39"/>
    </row>
    <row r="40" spans="1:20" ht="21.75" customHeight="1">
      <c r="A40" s="264" t="s">
        <v>96</v>
      </c>
      <c r="B40" s="260"/>
      <c r="C40" s="776">
        <v>154</v>
      </c>
      <c r="D40" s="776">
        <v>155</v>
      </c>
      <c r="E40" s="776">
        <v>193</v>
      </c>
      <c r="F40" s="776">
        <v>256</v>
      </c>
      <c r="G40" s="776">
        <v>153</v>
      </c>
      <c r="H40" s="777">
        <v>153</v>
      </c>
      <c r="S40"/>
      <c r="T40"/>
    </row>
    <row r="41" spans="1:20" ht="21.75" customHeight="1" thickBot="1">
      <c r="A41" s="276" t="s">
        <v>97</v>
      </c>
      <c r="B41" s="278"/>
      <c r="C41" s="778">
        <v>174</v>
      </c>
      <c r="D41" s="778">
        <v>175</v>
      </c>
      <c r="E41" s="778">
        <v>235</v>
      </c>
      <c r="F41" s="778">
        <v>274</v>
      </c>
      <c r="G41" s="778">
        <v>159</v>
      </c>
      <c r="H41" s="779">
        <v>160</v>
      </c>
      <c r="S41"/>
      <c r="T41"/>
    </row>
    <row r="42" spans="2:11" ht="13.5">
      <c r="B42" s="27"/>
      <c r="I42" s="328"/>
      <c r="J42" s="328"/>
      <c r="K42" s="328"/>
    </row>
    <row r="43" spans="9:11" ht="13.5">
      <c r="I43" s="328"/>
      <c r="J43" s="328"/>
      <c r="K43" s="328"/>
    </row>
    <row r="44" spans="9:11" ht="13.5">
      <c r="I44" s="328"/>
      <c r="J44" s="328"/>
      <c r="K44" s="328"/>
    </row>
    <row r="45" spans="9:11" ht="13.5">
      <c r="I45" s="328"/>
      <c r="J45" s="328"/>
      <c r="K45" s="328"/>
    </row>
    <row r="46" spans="9:11" ht="13.5">
      <c r="I46" s="328"/>
      <c r="J46" s="328"/>
      <c r="K46" s="328"/>
    </row>
    <row r="47" spans="9:11" ht="13.5">
      <c r="I47" s="328"/>
      <c r="J47" s="328"/>
      <c r="K47" s="328"/>
    </row>
    <row r="48" spans="9:11" ht="13.5">
      <c r="I48" s="328"/>
      <c r="J48" s="328"/>
      <c r="K48" s="328"/>
    </row>
    <row r="49" spans="9:11" ht="13.5">
      <c r="I49" s="328"/>
      <c r="J49" s="328"/>
      <c r="K49" s="328"/>
    </row>
    <row r="50" spans="9:11" ht="13.5">
      <c r="I50" s="328"/>
      <c r="J50" s="328"/>
      <c r="K50" s="328"/>
    </row>
    <row r="51" spans="9:11" ht="13.5">
      <c r="I51" s="328"/>
      <c r="J51" s="328"/>
      <c r="K51" s="328"/>
    </row>
    <row r="52" spans="9:11" ht="13.5">
      <c r="I52" s="328"/>
      <c r="J52" s="328"/>
      <c r="K52" s="328"/>
    </row>
    <row r="53" spans="9:11" ht="13.5">
      <c r="I53" s="328"/>
      <c r="J53" s="328"/>
      <c r="K53" s="328"/>
    </row>
    <row r="54" spans="9:11" ht="13.5">
      <c r="I54" s="328"/>
      <c r="J54" s="328"/>
      <c r="K54" s="328"/>
    </row>
    <row r="55" ht="13.5">
      <c r="J55" s="328"/>
    </row>
    <row r="56" ht="13.5">
      <c r="J56" s="328"/>
    </row>
  </sheetData>
  <sheetProtection/>
  <mergeCells count="31">
    <mergeCell ref="A41:B41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M4:N4"/>
    <mergeCell ref="O4:P4"/>
    <mergeCell ref="Q4:R4"/>
    <mergeCell ref="S4:T4"/>
    <mergeCell ref="A26:B28"/>
    <mergeCell ref="C26:D27"/>
    <mergeCell ref="E26:F27"/>
    <mergeCell ref="G26:H27"/>
    <mergeCell ref="A3:A5"/>
    <mergeCell ref="B3:B5"/>
    <mergeCell ref="C3:D3"/>
    <mergeCell ref="E3:T3"/>
    <mergeCell ref="C4:C5"/>
    <mergeCell ref="D4:D5"/>
    <mergeCell ref="E4:F4"/>
    <mergeCell ref="G4:H4"/>
    <mergeCell ref="I4:J4"/>
    <mergeCell ref="K4:L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geOrder="overThenDown" paperSize="9" r:id="rId1"/>
  <headerFooter alignWithMargins="0">
    <oddFooter>&amp;C- &amp;P+51 -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">
      <selection activeCell="N17" sqref="N17"/>
    </sheetView>
  </sheetViews>
  <sheetFormatPr defaultColWidth="9.00390625" defaultRowHeight="13.5"/>
  <cols>
    <col min="1" max="1" width="3.25390625" style="60" customWidth="1"/>
    <col min="2" max="2" width="9.00390625" style="60" customWidth="1"/>
    <col min="3" max="11" width="7.875" style="60" customWidth="1"/>
    <col min="12" max="12" width="8.00390625" style="60" customWidth="1"/>
    <col min="13" max="16384" width="9.00390625" style="60" customWidth="1"/>
  </cols>
  <sheetData>
    <row r="1" ht="17.25" customHeight="1">
      <c r="A1" s="780" t="s">
        <v>349</v>
      </c>
    </row>
    <row r="2" ht="4.5" customHeight="1"/>
    <row r="3" ht="13.5">
      <c r="A3" s="60" t="s">
        <v>350</v>
      </c>
    </row>
    <row r="4" spans="11:13" ht="10.5" customHeight="1" thickBot="1">
      <c r="K4" s="750" t="s">
        <v>351</v>
      </c>
      <c r="L4" s="750"/>
      <c r="M4" s="328"/>
    </row>
    <row r="5" spans="1:14" ht="12.75" customHeight="1">
      <c r="A5" s="781" t="s">
        <v>352</v>
      </c>
      <c r="B5" s="782"/>
      <c r="C5" s="782" t="s">
        <v>19</v>
      </c>
      <c r="D5" s="782" t="s">
        <v>353</v>
      </c>
      <c r="E5" s="783" t="s">
        <v>354</v>
      </c>
      <c r="F5" s="784">
        <v>50</v>
      </c>
      <c r="G5" s="784">
        <v>100</v>
      </c>
      <c r="H5" s="784">
        <v>300</v>
      </c>
      <c r="I5" s="784">
        <v>500</v>
      </c>
      <c r="J5" s="784">
        <v>700</v>
      </c>
      <c r="K5" s="785" t="s">
        <v>355</v>
      </c>
      <c r="L5" s="786"/>
      <c r="M5" s="328"/>
      <c r="N5" s="328"/>
    </row>
    <row r="6" spans="1:13" ht="12.75" customHeight="1">
      <c r="A6" s="787"/>
      <c r="B6" s="788"/>
      <c r="C6" s="788"/>
      <c r="D6" s="788"/>
      <c r="E6" s="789" t="s">
        <v>356</v>
      </c>
      <c r="F6" s="790" t="s">
        <v>357</v>
      </c>
      <c r="G6" s="790" t="s">
        <v>358</v>
      </c>
      <c r="H6" s="790" t="s">
        <v>359</v>
      </c>
      <c r="I6" s="790" t="s">
        <v>360</v>
      </c>
      <c r="J6" s="790" t="s">
        <v>361</v>
      </c>
      <c r="K6" s="791" t="s">
        <v>362</v>
      </c>
      <c r="L6" s="786"/>
      <c r="M6" s="328"/>
    </row>
    <row r="7" spans="1:13" ht="16.5" customHeight="1">
      <c r="A7" s="322" t="s">
        <v>159</v>
      </c>
      <c r="B7" s="792" t="s">
        <v>6</v>
      </c>
      <c r="C7" s="793">
        <f aca="true" t="shared" si="0" ref="C7:C44">SUM(D7:K7)</f>
        <v>4034</v>
      </c>
      <c r="D7" s="561">
        <f>D10+D13+D16+D19+D25+D28+D31+D34+D37+D40+D43</f>
        <v>85</v>
      </c>
      <c r="E7" s="561">
        <f>E10+E13+E16+E19+E22+E25+E28+E31+E34+E37+E40+E43</f>
        <v>383</v>
      </c>
      <c r="F7" s="561">
        <f>F10+F13+F16+F19+F22+F25+F28+F31+F34+F37+F40+F43</f>
        <v>622</v>
      </c>
      <c r="G7" s="793">
        <f>G10+G13+G16+G19+G22+G25+G28+G31+G34+G37+G40+G43</f>
        <v>1885</v>
      </c>
      <c r="H7" s="561">
        <f>H10+H13+H16+H19+H25+H28+H31+H34+H37+H40+H43</f>
        <v>561</v>
      </c>
      <c r="I7" s="561">
        <f>I10+I13+I16+I19+I25+I28+I34+I37+I40+I43</f>
        <v>154</v>
      </c>
      <c r="J7" s="561">
        <f>J10+J13+J16+J25+J28+J34+J37+J40+J43</f>
        <v>135</v>
      </c>
      <c r="K7" s="794">
        <f>K10+K13+K16+K19+K25+K28+K31+K34+K37+K40+K43</f>
        <v>209</v>
      </c>
      <c r="L7" s="795"/>
      <c r="M7" s="328"/>
    </row>
    <row r="8" spans="1:12" ht="16.5" customHeight="1">
      <c r="A8" s="329"/>
      <c r="B8" s="792" t="s">
        <v>38</v>
      </c>
      <c r="C8" s="793">
        <f t="shared" si="0"/>
        <v>4041</v>
      </c>
      <c r="D8" s="561">
        <v>87</v>
      </c>
      <c r="E8" s="561">
        <v>383</v>
      </c>
      <c r="F8" s="561">
        <v>622</v>
      </c>
      <c r="G8" s="793">
        <v>1885</v>
      </c>
      <c r="H8" s="561">
        <v>561</v>
      </c>
      <c r="I8" s="561">
        <v>156</v>
      </c>
      <c r="J8" s="561">
        <v>138</v>
      </c>
      <c r="K8" s="794">
        <v>209</v>
      </c>
      <c r="L8" s="795"/>
    </row>
    <row r="9" spans="1:12" ht="16.5" customHeight="1">
      <c r="A9" s="796"/>
      <c r="B9" s="792" t="s">
        <v>46</v>
      </c>
      <c r="C9" s="793">
        <f t="shared" si="0"/>
        <v>2521</v>
      </c>
      <c r="D9" s="793">
        <f>D12+D15+D18+D21+D24+D27+D30+D33+D36+D39+D42+D45</f>
        <v>61</v>
      </c>
      <c r="E9" s="793">
        <f>E12+E15+E18+E21+E24+E27+E30+E33+E36+E39+E42+E45</f>
        <v>324</v>
      </c>
      <c r="F9" s="793">
        <f aca="true" t="shared" si="1" ref="F9:K9">F12+F15+F18+F21+F24+F27+F30+F33+F36+F39+F42+F45</f>
        <v>409</v>
      </c>
      <c r="G9" s="793">
        <f t="shared" si="1"/>
        <v>1074</v>
      </c>
      <c r="H9" s="793">
        <f t="shared" si="1"/>
        <v>278</v>
      </c>
      <c r="I9" s="793">
        <f t="shared" si="1"/>
        <v>114</v>
      </c>
      <c r="J9" s="793">
        <f t="shared" si="1"/>
        <v>109</v>
      </c>
      <c r="K9" s="773">
        <f t="shared" si="1"/>
        <v>152</v>
      </c>
      <c r="L9" s="795"/>
    </row>
    <row r="10" spans="1:12" ht="18" customHeight="1">
      <c r="A10" s="322" t="s">
        <v>68</v>
      </c>
      <c r="B10" s="792" t="s">
        <v>6</v>
      </c>
      <c r="C10" s="561">
        <f t="shared" si="0"/>
        <v>321</v>
      </c>
      <c r="D10" s="561">
        <v>2</v>
      </c>
      <c r="E10" s="561">
        <v>24</v>
      </c>
      <c r="F10" s="561">
        <v>60</v>
      </c>
      <c r="G10" s="561">
        <v>148</v>
      </c>
      <c r="H10" s="561">
        <v>49</v>
      </c>
      <c r="I10" s="561">
        <v>10</v>
      </c>
      <c r="J10" s="561">
        <v>9</v>
      </c>
      <c r="K10" s="794">
        <v>19</v>
      </c>
      <c r="L10" s="795"/>
    </row>
    <row r="11" spans="1:12" ht="18" customHeight="1">
      <c r="A11" s="329"/>
      <c r="B11" s="792" t="s">
        <v>38</v>
      </c>
      <c r="C11" s="561">
        <f t="shared" si="0"/>
        <v>207</v>
      </c>
      <c r="D11" s="561">
        <v>1</v>
      </c>
      <c r="E11" s="561">
        <v>21</v>
      </c>
      <c r="F11" s="561">
        <v>44</v>
      </c>
      <c r="G11" s="561">
        <v>87</v>
      </c>
      <c r="H11" s="561">
        <v>22</v>
      </c>
      <c r="I11" s="561">
        <v>10</v>
      </c>
      <c r="J11" s="561">
        <v>3</v>
      </c>
      <c r="K11" s="794">
        <v>19</v>
      </c>
      <c r="L11" s="795"/>
    </row>
    <row r="12" spans="1:12" ht="18" customHeight="1">
      <c r="A12" s="796"/>
      <c r="B12" s="792" t="s">
        <v>46</v>
      </c>
      <c r="C12" s="793">
        <f t="shared" si="0"/>
        <v>152</v>
      </c>
      <c r="D12" s="561">
        <v>4</v>
      </c>
      <c r="E12" s="561">
        <v>23</v>
      </c>
      <c r="F12" s="561">
        <v>25</v>
      </c>
      <c r="G12" s="561">
        <f>36+22</f>
        <v>58</v>
      </c>
      <c r="H12" s="561">
        <v>17</v>
      </c>
      <c r="I12" s="561">
        <v>6</v>
      </c>
      <c r="J12" s="561">
        <v>7</v>
      </c>
      <c r="K12" s="794">
        <f>7+2+3</f>
        <v>12</v>
      </c>
      <c r="L12" s="795"/>
    </row>
    <row r="13" spans="1:12" ht="18" customHeight="1">
      <c r="A13" s="322" t="s">
        <v>69</v>
      </c>
      <c r="B13" s="792" t="s">
        <v>6</v>
      </c>
      <c r="C13" s="793">
        <f t="shared" si="0"/>
        <v>247</v>
      </c>
      <c r="D13" s="561">
        <v>4</v>
      </c>
      <c r="E13" s="561">
        <v>33</v>
      </c>
      <c r="F13" s="561">
        <v>49</v>
      </c>
      <c r="G13" s="561">
        <v>121</v>
      </c>
      <c r="H13" s="561">
        <v>27</v>
      </c>
      <c r="I13" s="561">
        <v>5</v>
      </c>
      <c r="J13" s="561">
        <v>5</v>
      </c>
      <c r="K13" s="794">
        <v>3</v>
      </c>
      <c r="L13" s="795"/>
    </row>
    <row r="14" spans="1:12" ht="18" customHeight="1">
      <c r="A14" s="329"/>
      <c r="B14" s="792" t="s">
        <v>38</v>
      </c>
      <c r="C14" s="793">
        <f t="shared" si="0"/>
        <v>208</v>
      </c>
      <c r="D14" s="561">
        <v>8</v>
      </c>
      <c r="E14" s="561">
        <v>41</v>
      </c>
      <c r="F14" s="561">
        <v>36</v>
      </c>
      <c r="G14" s="561">
        <v>91</v>
      </c>
      <c r="H14" s="561">
        <v>17</v>
      </c>
      <c r="I14" s="561">
        <v>4</v>
      </c>
      <c r="J14" s="561">
        <v>5</v>
      </c>
      <c r="K14" s="794">
        <v>6</v>
      </c>
      <c r="L14" s="795"/>
    </row>
    <row r="15" spans="1:12" ht="18" customHeight="1">
      <c r="A15" s="796"/>
      <c r="B15" s="792" t="s">
        <v>46</v>
      </c>
      <c r="C15" s="793">
        <f t="shared" si="0"/>
        <v>160</v>
      </c>
      <c r="D15" s="561">
        <v>4</v>
      </c>
      <c r="E15" s="561">
        <v>32</v>
      </c>
      <c r="F15" s="561">
        <v>33</v>
      </c>
      <c r="G15" s="561">
        <f>42+17</f>
        <v>59</v>
      </c>
      <c r="H15" s="561">
        <v>12</v>
      </c>
      <c r="I15" s="561">
        <v>9</v>
      </c>
      <c r="J15" s="561">
        <v>7</v>
      </c>
      <c r="K15" s="794">
        <f>1+2+1</f>
        <v>4</v>
      </c>
      <c r="L15" s="795"/>
    </row>
    <row r="16" spans="1:12" ht="18" customHeight="1">
      <c r="A16" s="322" t="s">
        <v>164</v>
      </c>
      <c r="B16" s="792" t="s">
        <v>6</v>
      </c>
      <c r="C16" s="793">
        <f t="shared" si="0"/>
        <v>245</v>
      </c>
      <c r="D16" s="561">
        <v>2</v>
      </c>
      <c r="E16" s="561">
        <v>15</v>
      </c>
      <c r="F16" s="561">
        <v>40</v>
      </c>
      <c r="G16" s="561">
        <v>141</v>
      </c>
      <c r="H16" s="561">
        <v>20</v>
      </c>
      <c r="I16" s="561">
        <v>10</v>
      </c>
      <c r="J16" s="561">
        <v>7</v>
      </c>
      <c r="K16" s="794">
        <v>10</v>
      </c>
      <c r="L16" s="795"/>
    </row>
    <row r="17" spans="1:12" ht="18" customHeight="1">
      <c r="A17" s="329"/>
      <c r="B17" s="792" t="s">
        <v>38</v>
      </c>
      <c r="C17" s="793">
        <f t="shared" si="0"/>
        <v>180</v>
      </c>
      <c r="D17" s="561">
        <v>3</v>
      </c>
      <c r="E17" s="561">
        <v>20</v>
      </c>
      <c r="F17" s="561">
        <v>30</v>
      </c>
      <c r="G17" s="561">
        <v>84</v>
      </c>
      <c r="H17" s="561">
        <v>17</v>
      </c>
      <c r="I17" s="561">
        <v>9</v>
      </c>
      <c r="J17" s="561">
        <v>9</v>
      </c>
      <c r="K17" s="794">
        <v>8</v>
      </c>
      <c r="L17" s="795"/>
    </row>
    <row r="18" spans="1:12" ht="18" customHeight="1">
      <c r="A18" s="796"/>
      <c r="B18" s="792" t="s">
        <v>46</v>
      </c>
      <c r="C18" s="793">
        <f t="shared" si="0"/>
        <v>142</v>
      </c>
      <c r="D18" s="561">
        <v>1</v>
      </c>
      <c r="E18" s="561">
        <v>14</v>
      </c>
      <c r="F18" s="561">
        <v>30</v>
      </c>
      <c r="G18" s="561">
        <f>41+19</f>
        <v>60</v>
      </c>
      <c r="H18" s="561">
        <v>15</v>
      </c>
      <c r="I18" s="561">
        <v>9</v>
      </c>
      <c r="J18" s="561">
        <v>8</v>
      </c>
      <c r="K18" s="794">
        <f>4+1</f>
        <v>5</v>
      </c>
      <c r="L18" s="795"/>
    </row>
    <row r="19" spans="1:12" ht="18" customHeight="1">
      <c r="A19" s="322" t="s">
        <v>165</v>
      </c>
      <c r="B19" s="792" t="s">
        <v>6</v>
      </c>
      <c r="C19" s="793">
        <f t="shared" si="0"/>
        <v>139</v>
      </c>
      <c r="D19" s="561">
        <v>1</v>
      </c>
      <c r="E19" s="561">
        <v>24</v>
      </c>
      <c r="F19" s="561">
        <v>41</v>
      </c>
      <c r="G19" s="561">
        <v>54</v>
      </c>
      <c r="H19" s="561">
        <v>13</v>
      </c>
      <c r="I19" s="561">
        <v>2</v>
      </c>
      <c r="J19" s="562" t="s">
        <v>363</v>
      </c>
      <c r="K19" s="794">
        <v>4</v>
      </c>
      <c r="L19" s="795"/>
    </row>
    <row r="20" spans="1:12" ht="18" customHeight="1">
      <c r="A20" s="329"/>
      <c r="B20" s="792" t="s">
        <v>38</v>
      </c>
      <c r="C20" s="793">
        <f t="shared" si="0"/>
        <v>92</v>
      </c>
      <c r="D20" s="561">
        <v>1</v>
      </c>
      <c r="E20" s="561">
        <v>28</v>
      </c>
      <c r="F20" s="561">
        <v>29</v>
      </c>
      <c r="G20" s="561">
        <v>24</v>
      </c>
      <c r="H20" s="561">
        <v>5</v>
      </c>
      <c r="I20" s="561">
        <v>1</v>
      </c>
      <c r="J20" s="562">
        <v>1</v>
      </c>
      <c r="K20" s="794">
        <v>3</v>
      </c>
      <c r="L20" s="795"/>
    </row>
    <row r="21" spans="1:12" ht="18" customHeight="1">
      <c r="A21" s="796"/>
      <c r="B21" s="792" t="s">
        <v>46</v>
      </c>
      <c r="C21" s="793">
        <f t="shared" si="0"/>
        <v>42</v>
      </c>
      <c r="D21" s="561">
        <v>0</v>
      </c>
      <c r="E21" s="561">
        <v>14</v>
      </c>
      <c r="F21" s="561">
        <v>12</v>
      </c>
      <c r="G21" s="561">
        <f>10+0</f>
        <v>10</v>
      </c>
      <c r="H21" s="561">
        <v>2</v>
      </c>
      <c r="I21" s="561">
        <v>1</v>
      </c>
      <c r="J21" s="562">
        <v>1</v>
      </c>
      <c r="K21" s="794">
        <f>1+1</f>
        <v>2</v>
      </c>
      <c r="L21" s="795"/>
    </row>
    <row r="22" spans="1:12" ht="18" customHeight="1">
      <c r="A22" s="322" t="s">
        <v>166</v>
      </c>
      <c r="B22" s="792" t="s">
        <v>6</v>
      </c>
      <c r="C22" s="793">
        <f t="shared" si="0"/>
        <v>44</v>
      </c>
      <c r="D22" s="561">
        <v>2</v>
      </c>
      <c r="E22" s="561">
        <v>18</v>
      </c>
      <c r="F22" s="561">
        <v>14</v>
      </c>
      <c r="G22" s="561">
        <v>10</v>
      </c>
      <c r="H22" s="562" t="s">
        <v>363</v>
      </c>
      <c r="I22" s="562" t="s">
        <v>363</v>
      </c>
      <c r="J22" s="562" t="s">
        <v>363</v>
      </c>
      <c r="K22" s="767" t="s">
        <v>363</v>
      </c>
      <c r="L22" s="797"/>
    </row>
    <row r="23" spans="1:12" ht="18" customHeight="1">
      <c r="A23" s="329"/>
      <c r="B23" s="792" t="s">
        <v>38</v>
      </c>
      <c r="C23" s="793">
        <f t="shared" si="0"/>
        <v>42</v>
      </c>
      <c r="D23" s="561">
        <v>2</v>
      </c>
      <c r="E23" s="561">
        <v>22</v>
      </c>
      <c r="F23" s="561">
        <v>16</v>
      </c>
      <c r="G23" s="561">
        <v>2</v>
      </c>
      <c r="H23" s="562">
        <v>0</v>
      </c>
      <c r="I23" s="562">
        <v>0</v>
      </c>
      <c r="J23" s="562">
        <v>0</v>
      </c>
      <c r="K23" s="767">
        <v>0</v>
      </c>
      <c r="L23" s="797"/>
    </row>
    <row r="24" spans="1:12" ht="18" customHeight="1">
      <c r="A24" s="796"/>
      <c r="B24" s="792" t="s">
        <v>46</v>
      </c>
      <c r="C24" s="793">
        <f t="shared" si="0"/>
        <v>33</v>
      </c>
      <c r="D24" s="561">
        <v>1</v>
      </c>
      <c r="E24" s="561">
        <v>18</v>
      </c>
      <c r="F24" s="561">
        <v>8</v>
      </c>
      <c r="G24" s="561">
        <f>6+0</f>
        <v>6</v>
      </c>
      <c r="H24" s="562">
        <v>0</v>
      </c>
      <c r="I24" s="562">
        <v>0</v>
      </c>
      <c r="J24" s="562">
        <v>0</v>
      </c>
      <c r="K24" s="767">
        <v>0</v>
      </c>
      <c r="L24" s="797"/>
    </row>
    <row r="25" spans="1:12" ht="18" customHeight="1">
      <c r="A25" s="322" t="s">
        <v>167</v>
      </c>
      <c r="B25" s="792" t="s">
        <v>6</v>
      </c>
      <c r="C25" s="793">
        <f t="shared" si="0"/>
        <v>706</v>
      </c>
      <c r="D25" s="561">
        <v>25</v>
      </c>
      <c r="E25" s="561">
        <v>65</v>
      </c>
      <c r="F25" s="561">
        <v>111</v>
      </c>
      <c r="G25" s="561">
        <v>394</v>
      </c>
      <c r="H25" s="561">
        <v>68</v>
      </c>
      <c r="I25" s="561">
        <v>10</v>
      </c>
      <c r="J25" s="561">
        <v>13</v>
      </c>
      <c r="K25" s="794">
        <v>20</v>
      </c>
      <c r="L25" s="795"/>
    </row>
    <row r="26" spans="1:12" ht="18" customHeight="1">
      <c r="A26" s="329"/>
      <c r="B26" s="792" t="s">
        <v>38</v>
      </c>
      <c r="C26" s="793">
        <f t="shared" si="0"/>
        <v>569</v>
      </c>
      <c r="D26" s="561">
        <v>11</v>
      </c>
      <c r="E26" s="561">
        <v>62</v>
      </c>
      <c r="F26" s="561">
        <v>107</v>
      </c>
      <c r="G26" s="561">
        <v>301</v>
      </c>
      <c r="H26" s="561">
        <v>44</v>
      </c>
      <c r="I26" s="561">
        <v>14</v>
      </c>
      <c r="J26" s="561">
        <v>10</v>
      </c>
      <c r="K26" s="794">
        <v>20</v>
      </c>
      <c r="L26" s="795"/>
    </row>
    <row r="27" spans="1:12" ht="18" customHeight="1">
      <c r="A27" s="796"/>
      <c r="B27" s="792" t="s">
        <v>46</v>
      </c>
      <c r="C27" s="793">
        <f>SUM(D27:K27)</f>
        <v>469</v>
      </c>
      <c r="D27" s="561">
        <v>17</v>
      </c>
      <c r="E27" s="561">
        <v>54</v>
      </c>
      <c r="F27" s="561">
        <v>83</v>
      </c>
      <c r="G27" s="561">
        <f>164+62</f>
        <v>226</v>
      </c>
      <c r="H27" s="561">
        <v>47</v>
      </c>
      <c r="I27" s="561">
        <v>13</v>
      </c>
      <c r="J27" s="561">
        <v>11</v>
      </c>
      <c r="K27" s="794">
        <f>4+3+3+6+1+1</f>
        <v>18</v>
      </c>
      <c r="L27" s="795"/>
    </row>
    <row r="28" spans="1:12" ht="18" customHeight="1">
      <c r="A28" s="322" t="s">
        <v>168</v>
      </c>
      <c r="B28" s="792" t="s">
        <v>6</v>
      </c>
      <c r="C28" s="793">
        <f t="shared" si="0"/>
        <v>423</v>
      </c>
      <c r="D28" s="561">
        <v>23</v>
      </c>
      <c r="E28" s="561">
        <v>80</v>
      </c>
      <c r="F28" s="561">
        <v>110</v>
      </c>
      <c r="G28" s="561">
        <v>156</v>
      </c>
      <c r="H28" s="561">
        <v>25</v>
      </c>
      <c r="I28" s="561">
        <v>7</v>
      </c>
      <c r="J28" s="561">
        <v>12</v>
      </c>
      <c r="K28" s="794">
        <v>10</v>
      </c>
      <c r="L28" s="795"/>
    </row>
    <row r="29" spans="1:12" ht="18" customHeight="1">
      <c r="A29" s="329"/>
      <c r="B29" s="792" t="s">
        <v>38</v>
      </c>
      <c r="C29" s="793">
        <f t="shared" si="0"/>
        <v>326</v>
      </c>
      <c r="D29" s="561">
        <v>5</v>
      </c>
      <c r="E29" s="561">
        <v>70</v>
      </c>
      <c r="F29" s="561">
        <v>78</v>
      </c>
      <c r="G29" s="561">
        <v>111</v>
      </c>
      <c r="H29" s="561">
        <v>30</v>
      </c>
      <c r="I29" s="561">
        <v>10</v>
      </c>
      <c r="J29" s="561">
        <v>10</v>
      </c>
      <c r="K29" s="794">
        <v>12</v>
      </c>
      <c r="L29" s="798"/>
    </row>
    <row r="30" spans="1:12" ht="18" customHeight="1">
      <c r="A30" s="796"/>
      <c r="B30" s="792" t="s">
        <v>46</v>
      </c>
      <c r="C30" s="793">
        <f t="shared" si="0"/>
        <v>260</v>
      </c>
      <c r="D30" s="561">
        <v>6</v>
      </c>
      <c r="E30" s="561">
        <v>70</v>
      </c>
      <c r="F30" s="561">
        <v>55</v>
      </c>
      <c r="G30" s="561">
        <f>57+23</f>
        <v>80</v>
      </c>
      <c r="H30" s="561">
        <v>23</v>
      </c>
      <c r="I30" s="561">
        <v>8</v>
      </c>
      <c r="J30" s="561">
        <v>7</v>
      </c>
      <c r="K30" s="794">
        <f>5+2+1+2+1</f>
        <v>11</v>
      </c>
      <c r="L30" s="798"/>
    </row>
    <row r="31" spans="1:12" ht="18" customHeight="1">
      <c r="A31" s="322" t="s">
        <v>169</v>
      </c>
      <c r="B31" s="792" t="s">
        <v>6</v>
      </c>
      <c r="C31" s="793">
        <f t="shared" si="0"/>
        <v>71</v>
      </c>
      <c r="D31" s="561">
        <v>4</v>
      </c>
      <c r="E31" s="561">
        <v>10</v>
      </c>
      <c r="F31" s="561">
        <v>5</v>
      </c>
      <c r="G31" s="561">
        <v>39</v>
      </c>
      <c r="H31" s="561">
        <v>7</v>
      </c>
      <c r="I31" s="561">
        <v>2</v>
      </c>
      <c r="J31" s="561">
        <v>3</v>
      </c>
      <c r="K31" s="767">
        <v>1</v>
      </c>
      <c r="L31" s="798"/>
    </row>
    <row r="32" spans="1:12" ht="18" customHeight="1">
      <c r="A32" s="329"/>
      <c r="B32" s="792" t="s">
        <v>38</v>
      </c>
      <c r="C32" s="793">
        <f t="shared" si="0"/>
        <v>53</v>
      </c>
      <c r="D32" s="561">
        <v>4</v>
      </c>
      <c r="E32" s="561">
        <v>6</v>
      </c>
      <c r="F32" s="561">
        <v>10</v>
      </c>
      <c r="G32" s="561">
        <v>24</v>
      </c>
      <c r="H32" s="561">
        <v>6</v>
      </c>
      <c r="I32" s="561">
        <v>1</v>
      </c>
      <c r="J32" s="561">
        <v>0</v>
      </c>
      <c r="K32" s="767">
        <v>2</v>
      </c>
      <c r="L32" s="798"/>
    </row>
    <row r="33" spans="1:12" ht="18" customHeight="1">
      <c r="A33" s="796"/>
      <c r="B33" s="792" t="s">
        <v>46</v>
      </c>
      <c r="C33" s="793">
        <f t="shared" si="0"/>
        <v>37</v>
      </c>
      <c r="D33" s="561">
        <v>1</v>
      </c>
      <c r="E33" s="561">
        <v>7</v>
      </c>
      <c r="F33" s="561">
        <v>4</v>
      </c>
      <c r="G33" s="561">
        <f>11+7</f>
        <v>18</v>
      </c>
      <c r="H33" s="561">
        <v>4</v>
      </c>
      <c r="I33" s="561">
        <v>1</v>
      </c>
      <c r="J33" s="561">
        <v>0</v>
      </c>
      <c r="K33" s="767">
        <f>1+1</f>
        <v>2</v>
      </c>
      <c r="L33" s="798"/>
    </row>
    <row r="34" spans="1:12" ht="18" customHeight="1">
      <c r="A34" s="322" t="s">
        <v>76</v>
      </c>
      <c r="B34" s="792" t="s">
        <v>6</v>
      </c>
      <c r="C34" s="793">
        <f t="shared" si="0"/>
        <v>292</v>
      </c>
      <c r="D34" s="561">
        <v>3</v>
      </c>
      <c r="E34" s="561">
        <v>15</v>
      </c>
      <c r="F34" s="561">
        <v>26</v>
      </c>
      <c r="G34" s="561">
        <v>141</v>
      </c>
      <c r="H34" s="561">
        <v>78</v>
      </c>
      <c r="I34" s="561">
        <v>18</v>
      </c>
      <c r="J34" s="561">
        <v>6</v>
      </c>
      <c r="K34" s="794">
        <v>5</v>
      </c>
      <c r="L34" s="799"/>
    </row>
    <row r="35" spans="1:12" ht="18" customHeight="1">
      <c r="A35" s="329"/>
      <c r="B35" s="792" t="s">
        <v>38</v>
      </c>
      <c r="C35" s="793">
        <f t="shared" si="0"/>
        <v>238</v>
      </c>
      <c r="D35" s="561">
        <v>3</v>
      </c>
      <c r="E35" s="561">
        <v>17</v>
      </c>
      <c r="F35" s="561">
        <v>21</v>
      </c>
      <c r="G35" s="561">
        <v>134</v>
      </c>
      <c r="H35" s="561">
        <v>43</v>
      </c>
      <c r="I35" s="561">
        <v>11</v>
      </c>
      <c r="J35" s="561">
        <v>6</v>
      </c>
      <c r="K35" s="794">
        <v>3</v>
      </c>
      <c r="L35" s="798"/>
    </row>
    <row r="36" spans="1:12" ht="18" customHeight="1">
      <c r="A36" s="796"/>
      <c r="B36" s="792" t="s">
        <v>46</v>
      </c>
      <c r="C36" s="793">
        <f t="shared" si="0"/>
        <v>197</v>
      </c>
      <c r="D36" s="561">
        <v>4</v>
      </c>
      <c r="E36" s="561">
        <v>12</v>
      </c>
      <c r="F36" s="561">
        <v>21</v>
      </c>
      <c r="G36" s="561">
        <f>46+57</f>
        <v>103</v>
      </c>
      <c r="H36" s="561">
        <v>35</v>
      </c>
      <c r="I36" s="561">
        <v>12</v>
      </c>
      <c r="J36" s="561">
        <v>7</v>
      </c>
      <c r="K36" s="794">
        <f>1+2</f>
        <v>3</v>
      </c>
      <c r="L36" s="798"/>
    </row>
    <row r="37" spans="1:12" ht="18" customHeight="1">
      <c r="A37" s="322" t="s">
        <v>170</v>
      </c>
      <c r="B37" s="792" t="s">
        <v>6</v>
      </c>
      <c r="C37" s="793">
        <f t="shared" si="0"/>
        <v>648</v>
      </c>
      <c r="D37" s="561">
        <v>6</v>
      </c>
      <c r="E37" s="561">
        <v>26</v>
      </c>
      <c r="F37" s="561">
        <v>46</v>
      </c>
      <c r="G37" s="561">
        <v>310</v>
      </c>
      <c r="H37" s="561">
        <v>142</v>
      </c>
      <c r="I37" s="561">
        <v>38</v>
      </c>
      <c r="J37" s="561">
        <v>31</v>
      </c>
      <c r="K37" s="794">
        <v>49</v>
      </c>
      <c r="L37" s="798"/>
    </row>
    <row r="38" spans="1:13" ht="18" customHeight="1">
      <c r="A38" s="329"/>
      <c r="B38" s="792" t="s">
        <v>38</v>
      </c>
      <c r="C38" s="793">
        <f t="shared" si="0"/>
        <v>563</v>
      </c>
      <c r="D38" s="561">
        <v>7</v>
      </c>
      <c r="E38" s="561">
        <v>32</v>
      </c>
      <c r="F38" s="561">
        <v>59</v>
      </c>
      <c r="G38" s="561">
        <v>302</v>
      </c>
      <c r="H38" s="561">
        <v>68</v>
      </c>
      <c r="I38" s="561">
        <v>27</v>
      </c>
      <c r="J38" s="561">
        <v>26</v>
      </c>
      <c r="K38" s="794">
        <v>42</v>
      </c>
      <c r="L38" s="798"/>
      <c r="M38" s="478"/>
    </row>
    <row r="39" spans="1:13" ht="18" customHeight="1">
      <c r="A39" s="796"/>
      <c r="B39" s="792" t="s">
        <v>46</v>
      </c>
      <c r="C39" s="793">
        <f t="shared" si="0"/>
        <v>466</v>
      </c>
      <c r="D39" s="561">
        <v>6</v>
      </c>
      <c r="E39" s="561">
        <v>29</v>
      </c>
      <c r="F39" s="561">
        <v>55</v>
      </c>
      <c r="G39" s="561">
        <f>139+97</f>
        <v>236</v>
      </c>
      <c r="H39" s="561">
        <v>56</v>
      </c>
      <c r="I39" s="561">
        <v>28</v>
      </c>
      <c r="J39" s="561">
        <v>19</v>
      </c>
      <c r="K39" s="794">
        <f>14+8+7+3+5</f>
        <v>37</v>
      </c>
      <c r="L39" s="798"/>
      <c r="M39" s="478"/>
    </row>
    <row r="40" spans="1:12" ht="18" customHeight="1">
      <c r="A40" s="322" t="s">
        <v>78</v>
      </c>
      <c r="B40" s="792" t="s">
        <v>6</v>
      </c>
      <c r="C40" s="793">
        <f t="shared" si="0"/>
        <v>338</v>
      </c>
      <c r="D40" s="561">
        <v>10</v>
      </c>
      <c r="E40" s="561">
        <v>26</v>
      </c>
      <c r="F40" s="561">
        <v>43</v>
      </c>
      <c r="G40" s="561">
        <v>117</v>
      </c>
      <c r="H40" s="561">
        <v>39</v>
      </c>
      <c r="I40" s="561">
        <v>16</v>
      </c>
      <c r="J40" s="561">
        <v>28</v>
      </c>
      <c r="K40" s="794">
        <v>59</v>
      </c>
      <c r="L40" s="798"/>
    </row>
    <row r="41" spans="1:12" ht="18" customHeight="1">
      <c r="A41" s="329"/>
      <c r="B41" s="792" t="s">
        <v>38</v>
      </c>
      <c r="C41" s="793">
        <f>SUM(D41:K41)</f>
        <v>286</v>
      </c>
      <c r="D41" s="561">
        <v>6</v>
      </c>
      <c r="E41" s="561">
        <v>22</v>
      </c>
      <c r="F41" s="561">
        <v>42</v>
      </c>
      <c r="G41" s="561">
        <v>92</v>
      </c>
      <c r="H41" s="561">
        <v>33</v>
      </c>
      <c r="I41" s="561">
        <v>18</v>
      </c>
      <c r="J41" s="561">
        <v>22</v>
      </c>
      <c r="K41" s="794">
        <v>51</v>
      </c>
      <c r="L41" s="798"/>
    </row>
    <row r="42" spans="1:12" ht="18" customHeight="1">
      <c r="A42" s="796"/>
      <c r="B42" s="792" t="s">
        <v>46</v>
      </c>
      <c r="C42" s="793">
        <f t="shared" si="0"/>
        <v>247</v>
      </c>
      <c r="D42" s="561">
        <v>6</v>
      </c>
      <c r="E42" s="561">
        <v>26</v>
      </c>
      <c r="F42" s="561">
        <v>37</v>
      </c>
      <c r="G42" s="561">
        <f>41+28</f>
        <v>69</v>
      </c>
      <c r="H42" s="561">
        <v>31</v>
      </c>
      <c r="I42" s="561">
        <v>15</v>
      </c>
      <c r="J42" s="561">
        <v>27</v>
      </c>
      <c r="K42" s="794">
        <f>18+9+6+3</f>
        <v>36</v>
      </c>
      <c r="L42" s="798"/>
    </row>
    <row r="43" spans="1:12" ht="18" customHeight="1">
      <c r="A43" s="322" t="s">
        <v>79</v>
      </c>
      <c r="B43" s="792" t="s">
        <v>6</v>
      </c>
      <c r="C43" s="793">
        <f t="shared" si="0"/>
        <v>567</v>
      </c>
      <c r="D43" s="561">
        <v>5</v>
      </c>
      <c r="E43" s="561">
        <v>47</v>
      </c>
      <c r="F43" s="561">
        <v>77</v>
      </c>
      <c r="G43" s="561">
        <v>254</v>
      </c>
      <c r="H43" s="561">
        <v>93</v>
      </c>
      <c r="I43" s="561">
        <v>38</v>
      </c>
      <c r="J43" s="561">
        <v>24</v>
      </c>
      <c r="K43" s="794">
        <v>29</v>
      </c>
      <c r="L43" s="798"/>
    </row>
    <row r="44" spans="1:12" ht="18" customHeight="1">
      <c r="A44" s="329"/>
      <c r="B44" s="792" t="s">
        <v>38</v>
      </c>
      <c r="C44" s="793">
        <f t="shared" si="0"/>
        <v>415</v>
      </c>
      <c r="D44" s="561">
        <v>2</v>
      </c>
      <c r="E44" s="561">
        <v>34</v>
      </c>
      <c r="F44" s="561">
        <v>73</v>
      </c>
      <c r="G44" s="561">
        <v>179</v>
      </c>
      <c r="H44" s="561">
        <v>52</v>
      </c>
      <c r="I44" s="561">
        <v>29</v>
      </c>
      <c r="J44" s="561">
        <v>18</v>
      </c>
      <c r="K44" s="794">
        <v>28</v>
      </c>
      <c r="L44" s="798"/>
    </row>
    <row r="45" spans="1:12" ht="18" customHeight="1" thickBot="1">
      <c r="A45" s="800"/>
      <c r="B45" s="801" t="s">
        <v>46</v>
      </c>
      <c r="C45" s="802">
        <f>SUM(D45:K45)</f>
        <v>316</v>
      </c>
      <c r="D45" s="803">
        <v>11</v>
      </c>
      <c r="E45" s="803">
        <v>25</v>
      </c>
      <c r="F45" s="803">
        <v>46</v>
      </c>
      <c r="G45" s="803">
        <f>94+55</f>
        <v>149</v>
      </c>
      <c r="H45" s="803">
        <v>36</v>
      </c>
      <c r="I45" s="803">
        <v>12</v>
      </c>
      <c r="J45" s="803">
        <v>15</v>
      </c>
      <c r="K45" s="804">
        <f>11+7+3+1</f>
        <v>22</v>
      </c>
      <c r="L45" s="798"/>
    </row>
    <row r="46" ht="9.75" customHeight="1">
      <c r="K46" s="478"/>
    </row>
  </sheetData>
  <sheetProtection/>
  <mergeCells count="16">
    <mergeCell ref="A34:A36"/>
    <mergeCell ref="A37:A39"/>
    <mergeCell ref="A40:A42"/>
    <mergeCell ref="A43:A45"/>
    <mergeCell ref="A16:A18"/>
    <mergeCell ref="A19:A21"/>
    <mergeCell ref="A22:A24"/>
    <mergeCell ref="A25:A27"/>
    <mergeCell ref="A28:A30"/>
    <mergeCell ref="A31:A33"/>
    <mergeCell ref="A5:B6"/>
    <mergeCell ref="C5:C6"/>
    <mergeCell ref="D5:D6"/>
    <mergeCell ref="A7:A9"/>
    <mergeCell ref="A10:A12"/>
    <mergeCell ref="A13:A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&amp;C- 54 -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workbookViewId="0" topLeftCell="A1">
      <selection activeCell="K29" sqref="K29"/>
    </sheetView>
  </sheetViews>
  <sheetFormatPr defaultColWidth="9.00390625" defaultRowHeight="13.5"/>
  <cols>
    <col min="1" max="1" width="7.375" style="0" customWidth="1"/>
    <col min="2" max="2" width="9.125" style="0" customWidth="1"/>
    <col min="3" max="3" width="8.875" style="0" bestFit="1" customWidth="1"/>
    <col min="4" max="12" width="7.125" style="0" customWidth="1"/>
  </cols>
  <sheetData>
    <row r="1" ht="13.5">
      <c r="A1" t="s">
        <v>364</v>
      </c>
    </row>
    <row r="2" spans="12:13" ht="12" customHeight="1" thickBot="1">
      <c r="L2" s="805" t="s">
        <v>49</v>
      </c>
      <c r="M2" s="27"/>
    </row>
    <row r="3" spans="1:14" ht="40.5" customHeight="1">
      <c r="A3" s="69" t="s">
        <v>34</v>
      </c>
      <c r="B3" s="806" t="s">
        <v>365</v>
      </c>
      <c r="C3" s="64" t="s">
        <v>366</v>
      </c>
      <c r="D3" s="64" t="s">
        <v>367</v>
      </c>
      <c r="E3" s="64" t="s">
        <v>368</v>
      </c>
      <c r="F3" s="64" t="s">
        <v>369</v>
      </c>
      <c r="G3" s="64" t="s">
        <v>370</v>
      </c>
      <c r="H3" s="807" t="s">
        <v>371</v>
      </c>
      <c r="I3" s="64" t="s">
        <v>372</v>
      </c>
      <c r="J3" s="62" t="s">
        <v>373</v>
      </c>
      <c r="K3" s="62" t="s">
        <v>374</v>
      </c>
      <c r="L3" s="808" t="s">
        <v>375</v>
      </c>
      <c r="M3" s="27"/>
      <c r="N3" s="27"/>
    </row>
    <row r="4" spans="1:14" ht="23.25" customHeight="1">
      <c r="A4" s="678" t="s">
        <v>376</v>
      </c>
      <c r="B4" s="772">
        <f>SUM(B5:B16)</f>
        <v>2483</v>
      </c>
      <c r="C4" s="772">
        <f>SUM(C5:C16)</f>
        <v>2405</v>
      </c>
      <c r="D4" s="772">
        <f aca="true" t="shared" si="0" ref="D4:L4">SUM(D5:D16)</f>
        <v>0</v>
      </c>
      <c r="E4" s="772">
        <f t="shared" si="0"/>
        <v>21</v>
      </c>
      <c r="F4" s="772">
        <f t="shared" si="0"/>
        <v>110</v>
      </c>
      <c r="G4" s="772">
        <f t="shared" si="0"/>
        <v>191</v>
      </c>
      <c r="H4" s="772">
        <f t="shared" si="0"/>
        <v>32</v>
      </c>
      <c r="I4" s="772">
        <f t="shared" si="0"/>
        <v>603</v>
      </c>
      <c r="J4" s="772">
        <f t="shared" si="0"/>
        <v>63</v>
      </c>
      <c r="K4" s="772">
        <f t="shared" si="0"/>
        <v>82</v>
      </c>
      <c r="L4" s="809">
        <f t="shared" si="0"/>
        <v>37</v>
      </c>
      <c r="M4" s="27"/>
      <c r="N4" s="27"/>
    </row>
    <row r="5" spans="1:14" ht="23.25" customHeight="1">
      <c r="A5" s="678" t="s">
        <v>86</v>
      </c>
      <c r="B5" s="774">
        <v>149</v>
      </c>
      <c r="C5" s="774">
        <v>136</v>
      </c>
      <c r="D5" s="774" t="s">
        <v>236</v>
      </c>
      <c r="E5" s="774">
        <v>2</v>
      </c>
      <c r="F5" s="774">
        <v>5</v>
      </c>
      <c r="G5" s="774">
        <v>14</v>
      </c>
      <c r="H5" s="774" t="s">
        <v>236</v>
      </c>
      <c r="I5" s="774">
        <v>48</v>
      </c>
      <c r="J5" s="774">
        <v>8</v>
      </c>
      <c r="K5" s="774">
        <v>1</v>
      </c>
      <c r="L5" s="775">
        <v>1</v>
      </c>
      <c r="M5" s="27"/>
      <c r="N5" s="27"/>
    </row>
    <row r="6" spans="1:14" ht="23.25" customHeight="1">
      <c r="A6" s="678" t="s">
        <v>69</v>
      </c>
      <c r="B6" s="774">
        <v>157</v>
      </c>
      <c r="C6" s="774">
        <v>148</v>
      </c>
      <c r="D6" s="774" t="s">
        <v>236</v>
      </c>
      <c r="E6" s="774">
        <v>2</v>
      </c>
      <c r="F6" s="774">
        <v>4</v>
      </c>
      <c r="G6" s="774">
        <v>7</v>
      </c>
      <c r="H6" s="774">
        <v>1</v>
      </c>
      <c r="I6" s="774">
        <v>37</v>
      </c>
      <c r="J6" s="774">
        <v>4</v>
      </c>
      <c r="K6" s="774">
        <v>21</v>
      </c>
      <c r="L6" s="775" t="s">
        <v>236</v>
      </c>
      <c r="M6" s="27"/>
      <c r="N6" s="27"/>
    </row>
    <row r="7" spans="1:14" ht="23.25" customHeight="1">
      <c r="A7" s="678" t="s">
        <v>377</v>
      </c>
      <c r="B7" s="774">
        <v>140</v>
      </c>
      <c r="C7" s="774">
        <v>139</v>
      </c>
      <c r="D7" s="774" t="s">
        <v>236</v>
      </c>
      <c r="E7" s="774">
        <v>1</v>
      </c>
      <c r="F7" s="774">
        <v>5</v>
      </c>
      <c r="G7" s="774">
        <v>20</v>
      </c>
      <c r="H7" s="774">
        <v>3</v>
      </c>
      <c r="I7" s="774">
        <v>18</v>
      </c>
      <c r="J7" s="774">
        <v>2</v>
      </c>
      <c r="K7" s="774">
        <v>4</v>
      </c>
      <c r="L7" s="775">
        <v>2</v>
      </c>
      <c r="M7" s="27"/>
      <c r="N7" s="27"/>
    </row>
    <row r="8" spans="1:14" ht="23.25" customHeight="1">
      <c r="A8" s="678" t="s">
        <v>270</v>
      </c>
      <c r="B8" s="774">
        <v>42</v>
      </c>
      <c r="C8" s="774">
        <v>37</v>
      </c>
      <c r="D8" s="774" t="s">
        <v>236</v>
      </c>
      <c r="E8" s="774">
        <v>1</v>
      </c>
      <c r="F8" s="774">
        <v>2</v>
      </c>
      <c r="G8" s="774" t="s">
        <v>236</v>
      </c>
      <c r="H8" s="774" t="s">
        <v>236</v>
      </c>
      <c r="I8" s="774">
        <v>9</v>
      </c>
      <c r="J8" s="774">
        <v>1</v>
      </c>
      <c r="K8" s="774">
        <v>2</v>
      </c>
      <c r="L8" s="775">
        <v>3</v>
      </c>
      <c r="M8" s="27"/>
      <c r="N8" s="27"/>
    </row>
    <row r="9" spans="1:14" ht="23.25" customHeight="1">
      <c r="A9" s="678" t="s">
        <v>378</v>
      </c>
      <c r="B9" s="774">
        <v>33</v>
      </c>
      <c r="C9" s="774">
        <v>33</v>
      </c>
      <c r="D9" s="774" t="s">
        <v>236</v>
      </c>
      <c r="E9" s="774" t="s">
        <v>236</v>
      </c>
      <c r="F9" s="774">
        <v>1</v>
      </c>
      <c r="G9" s="774">
        <v>1</v>
      </c>
      <c r="H9" s="774" t="s">
        <v>236</v>
      </c>
      <c r="I9" s="774">
        <v>2</v>
      </c>
      <c r="J9" s="774" t="s">
        <v>236</v>
      </c>
      <c r="K9" s="774" t="s">
        <v>236</v>
      </c>
      <c r="L9" s="775" t="s">
        <v>236</v>
      </c>
      <c r="M9" s="27"/>
      <c r="N9" s="27"/>
    </row>
    <row r="10" spans="1:14" ht="23.25" customHeight="1">
      <c r="A10" s="678" t="s">
        <v>379</v>
      </c>
      <c r="B10" s="774">
        <v>462</v>
      </c>
      <c r="C10" s="774">
        <v>456</v>
      </c>
      <c r="D10" s="774" t="s">
        <v>236</v>
      </c>
      <c r="E10" s="774">
        <v>8</v>
      </c>
      <c r="F10" s="774">
        <v>20</v>
      </c>
      <c r="G10" s="774">
        <v>30</v>
      </c>
      <c r="H10" s="774">
        <v>3</v>
      </c>
      <c r="I10" s="774">
        <v>85</v>
      </c>
      <c r="J10" s="774">
        <v>1</v>
      </c>
      <c r="K10" s="774">
        <v>17</v>
      </c>
      <c r="L10" s="775">
        <v>7</v>
      </c>
      <c r="M10" s="27"/>
      <c r="N10" s="27"/>
    </row>
    <row r="11" spans="1:14" ht="23.25" customHeight="1">
      <c r="A11" s="678" t="s">
        <v>380</v>
      </c>
      <c r="B11" s="774">
        <v>254</v>
      </c>
      <c r="C11" s="774">
        <v>251</v>
      </c>
      <c r="D11" s="774" t="s">
        <v>236</v>
      </c>
      <c r="E11" s="774" t="s">
        <v>236</v>
      </c>
      <c r="F11" s="774">
        <v>5</v>
      </c>
      <c r="G11" s="774">
        <v>3</v>
      </c>
      <c r="H11" s="774">
        <v>1</v>
      </c>
      <c r="I11" s="774">
        <v>36</v>
      </c>
      <c r="J11" s="774" t="s">
        <v>236</v>
      </c>
      <c r="K11" s="774">
        <v>3</v>
      </c>
      <c r="L11" s="775">
        <v>5</v>
      </c>
      <c r="M11" s="27"/>
      <c r="N11" s="27"/>
    </row>
    <row r="12" spans="1:14" ht="23.25" customHeight="1">
      <c r="A12" s="678" t="s">
        <v>381</v>
      </c>
      <c r="B12" s="774">
        <v>36</v>
      </c>
      <c r="C12" s="774">
        <v>36</v>
      </c>
      <c r="D12" s="774" t="s">
        <v>236</v>
      </c>
      <c r="E12" s="774" t="s">
        <v>236</v>
      </c>
      <c r="F12" s="774">
        <v>3</v>
      </c>
      <c r="G12" s="774">
        <v>3</v>
      </c>
      <c r="H12" s="774" t="s">
        <v>236</v>
      </c>
      <c r="I12" s="774">
        <v>7</v>
      </c>
      <c r="J12" s="774" t="s">
        <v>236</v>
      </c>
      <c r="K12" s="774">
        <v>1</v>
      </c>
      <c r="L12" s="775">
        <v>1</v>
      </c>
      <c r="M12" s="27"/>
      <c r="N12" s="27"/>
    </row>
    <row r="13" spans="1:14" ht="23.25" customHeight="1">
      <c r="A13" s="678" t="s">
        <v>94</v>
      </c>
      <c r="B13" s="774">
        <v>195</v>
      </c>
      <c r="C13" s="774">
        <v>193</v>
      </c>
      <c r="D13" s="774" t="s">
        <v>236</v>
      </c>
      <c r="E13" s="774">
        <v>3</v>
      </c>
      <c r="F13" s="774">
        <v>12</v>
      </c>
      <c r="G13" s="774">
        <v>23</v>
      </c>
      <c r="H13" s="774" t="s">
        <v>236</v>
      </c>
      <c r="I13" s="774">
        <v>60</v>
      </c>
      <c r="J13" s="774">
        <v>2</v>
      </c>
      <c r="K13" s="774">
        <v>4</v>
      </c>
      <c r="L13" s="775">
        <v>2</v>
      </c>
      <c r="M13" s="27"/>
      <c r="N13" s="27"/>
    </row>
    <row r="14" spans="1:14" ht="23.25" customHeight="1">
      <c r="A14" s="678" t="s">
        <v>382</v>
      </c>
      <c r="B14" s="772">
        <v>461</v>
      </c>
      <c r="C14" s="772">
        <v>460</v>
      </c>
      <c r="D14" s="764">
        <v>0</v>
      </c>
      <c r="E14" s="772">
        <v>1</v>
      </c>
      <c r="F14" s="772">
        <v>24</v>
      </c>
      <c r="G14" s="772">
        <v>39</v>
      </c>
      <c r="H14" s="772">
        <v>4</v>
      </c>
      <c r="I14" s="772">
        <v>92</v>
      </c>
      <c r="J14" s="772">
        <v>15</v>
      </c>
      <c r="K14" s="810">
        <v>15</v>
      </c>
      <c r="L14" s="809">
        <v>4</v>
      </c>
      <c r="M14" s="27"/>
      <c r="N14" s="27"/>
    </row>
    <row r="15" spans="1:14" ht="23.25" customHeight="1">
      <c r="A15" s="678" t="s">
        <v>96</v>
      </c>
      <c r="B15" s="772">
        <v>244</v>
      </c>
      <c r="C15" s="772">
        <v>217</v>
      </c>
      <c r="D15" s="764">
        <v>0</v>
      </c>
      <c r="E15" s="772">
        <v>2</v>
      </c>
      <c r="F15" s="772">
        <v>21</v>
      </c>
      <c r="G15" s="772">
        <v>21</v>
      </c>
      <c r="H15" s="772">
        <v>20</v>
      </c>
      <c r="I15" s="772">
        <v>135</v>
      </c>
      <c r="J15" s="772">
        <v>21</v>
      </c>
      <c r="K15" s="772">
        <v>6</v>
      </c>
      <c r="L15" s="811">
        <v>4</v>
      </c>
      <c r="M15" s="27"/>
      <c r="N15" s="27"/>
    </row>
    <row r="16" spans="1:14" ht="23.25" customHeight="1" thickBot="1">
      <c r="A16" s="689" t="s">
        <v>97</v>
      </c>
      <c r="B16" s="812">
        <v>310</v>
      </c>
      <c r="C16" s="812">
        <v>299</v>
      </c>
      <c r="D16" s="812">
        <v>0</v>
      </c>
      <c r="E16" s="812">
        <v>1</v>
      </c>
      <c r="F16" s="812">
        <v>8</v>
      </c>
      <c r="G16" s="812">
        <v>30</v>
      </c>
      <c r="H16" s="812">
        <v>0</v>
      </c>
      <c r="I16" s="812">
        <v>74</v>
      </c>
      <c r="J16" s="812">
        <v>9</v>
      </c>
      <c r="K16" s="813">
        <v>8</v>
      </c>
      <c r="L16" s="814">
        <v>8</v>
      </c>
      <c r="M16" s="27"/>
      <c r="N16" s="27"/>
    </row>
    <row r="17" ht="13.5">
      <c r="M17" s="27"/>
    </row>
    <row r="18" ht="8.25" customHeight="1"/>
    <row r="19" ht="13.5" customHeight="1">
      <c r="A19" t="s">
        <v>383</v>
      </c>
    </row>
    <row r="20" ht="12" customHeight="1" thickBot="1">
      <c r="L20" s="805" t="s">
        <v>384</v>
      </c>
    </row>
    <row r="21" spans="1:13" ht="42" customHeight="1">
      <c r="A21" s="69" t="s">
        <v>34</v>
      </c>
      <c r="B21" s="815" t="s">
        <v>385</v>
      </c>
      <c r="C21" s="816" t="s">
        <v>366</v>
      </c>
      <c r="D21" s="816" t="s">
        <v>367</v>
      </c>
      <c r="E21" s="816" t="s">
        <v>368</v>
      </c>
      <c r="F21" s="816" t="s">
        <v>369</v>
      </c>
      <c r="G21" s="816" t="s">
        <v>370</v>
      </c>
      <c r="H21" s="817" t="s">
        <v>371</v>
      </c>
      <c r="I21" s="816" t="s">
        <v>372</v>
      </c>
      <c r="J21" s="818" t="s">
        <v>373</v>
      </c>
      <c r="K21" s="62" t="s">
        <v>374</v>
      </c>
      <c r="L21" s="819" t="s">
        <v>375</v>
      </c>
      <c r="M21" s="27"/>
    </row>
    <row r="22" spans="1:14" ht="23.25" customHeight="1">
      <c r="A22" s="678" t="s">
        <v>376</v>
      </c>
      <c r="B22" s="820" t="s">
        <v>386</v>
      </c>
      <c r="C22" s="772">
        <v>625789</v>
      </c>
      <c r="D22" s="772">
        <f>SUM(D23:D34)</f>
        <v>0</v>
      </c>
      <c r="E22" s="772">
        <v>2638</v>
      </c>
      <c r="F22" s="772">
        <v>418</v>
      </c>
      <c r="G22" s="772">
        <v>8405</v>
      </c>
      <c r="H22" s="820" t="s">
        <v>386</v>
      </c>
      <c r="I22" s="820" t="s">
        <v>386</v>
      </c>
      <c r="J22" s="820" t="s">
        <v>386</v>
      </c>
      <c r="K22" s="820" t="s">
        <v>386</v>
      </c>
      <c r="L22" s="809">
        <v>2154</v>
      </c>
      <c r="M22" s="27"/>
      <c r="N22" s="27"/>
    </row>
    <row r="23" spans="1:14" ht="23.25" customHeight="1">
      <c r="A23" s="678" t="s">
        <v>86</v>
      </c>
      <c r="B23" s="820" t="s">
        <v>386</v>
      </c>
      <c r="C23" s="772">
        <v>39590</v>
      </c>
      <c r="D23" s="764">
        <v>0</v>
      </c>
      <c r="E23" s="820" t="s">
        <v>386</v>
      </c>
      <c r="F23" s="820" t="s">
        <v>386</v>
      </c>
      <c r="G23" s="820" t="s">
        <v>386</v>
      </c>
      <c r="H23" s="764">
        <v>0</v>
      </c>
      <c r="I23" s="820" t="s">
        <v>386</v>
      </c>
      <c r="J23" s="820" t="s">
        <v>386</v>
      </c>
      <c r="K23" s="820" t="s">
        <v>386</v>
      </c>
      <c r="L23" s="821" t="s">
        <v>386</v>
      </c>
      <c r="M23" s="27"/>
      <c r="N23" s="27"/>
    </row>
    <row r="24" spans="1:14" ht="23.25" customHeight="1">
      <c r="A24" s="678" t="s">
        <v>69</v>
      </c>
      <c r="B24" s="820" t="s">
        <v>386</v>
      </c>
      <c r="C24" s="772">
        <v>33124</v>
      </c>
      <c r="D24" s="764">
        <v>0</v>
      </c>
      <c r="E24" s="820" t="s">
        <v>386</v>
      </c>
      <c r="F24" s="772">
        <v>7</v>
      </c>
      <c r="G24" s="820" t="s">
        <v>386</v>
      </c>
      <c r="H24" s="820" t="s">
        <v>386</v>
      </c>
      <c r="I24" s="820" t="s">
        <v>386</v>
      </c>
      <c r="J24" s="820" t="s">
        <v>386</v>
      </c>
      <c r="K24" s="820" t="s">
        <v>386</v>
      </c>
      <c r="L24" s="822">
        <v>0</v>
      </c>
      <c r="M24" s="27"/>
      <c r="N24" s="27"/>
    </row>
    <row r="25" spans="1:14" ht="23.25" customHeight="1">
      <c r="A25" s="678" t="s">
        <v>377</v>
      </c>
      <c r="B25" s="820" t="s">
        <v>386</v>
      </c>
      <c r="C25" s="820" t="s">
        <v>386</v>
      </c>
      <c r="D25" s="764">
        <v>0</v>
      </c>
      <c r="E25" s="820" t="s">
        <v>386</v>
      </c>
      <c r="F25" s="820" t="s">
        <v>386</v>
      </c>
      <c r="G25" s="820" t="s">
        <v>386</v>
      </c>
      <c r="H25" s="820" t="s">
        <v>386</v>
      </c>
      <c r="I25" s="820" t="s">
        <v>386</v>
      </c>
      <c r="J25" s="820" t="s">
        <v>386</v>
      </c>
      <c r="K25" s="820" t="s">
        <v>386</v>
      </c>
      <c r="L25" s="821" t="s">
        <v>386</v>
      </c>
      <c r="M25" s="27"/>
      <c r="N25" s="27"/>
    </row>
    <row r="26" spans="1:14" ht="23.25" customHeight="1">
      <c r="A26" s="678" t="s">
        <v>270</v>
      </c>
      <c r="B26" s="820" t="s">
        <v>386</v>
      </c>
      <c r="C26" s="772">
        <v>6016</v>
      </c>
      <c r="D26" s="772">
        <v>0</v>
      </c>
      <c r="E26" s="820" t="s">
        <v>386</v>
      </c>
      <c r="F26" s="820" t="s">
        <v>386</v>
      </c>
      <c r="G26" s="764">
        <v>0</v>
      </c>
      <c r="H26" s="764">
        <v>0</v>
      </c>
      <c r="I26" s="820" t="s">
        <v>386</v>
      </c>
      <c r="J26" s="820" t="s">
        <v>386</v>
      </c>
      <c r="K26" s="820" t="s">
        <v>386</v>
      </c>
      <c r="L26" s="809">
        <v>338</v>
      </c>
      <c r="M26" s="27"/>
      <c r="N26" s="27"/>
    </row>
    <row r="27" spans="1:14" ht="23.25" customHeight="1">
      <c r="A27" s="678" t="s">
        <v>378</v>
      </c>
      <c r="B27" s="820" t="s">
        <v>386</v>
      </c>
      <c r="C27" s="772">
        <v>2410</v>
      </c>
      <c r="D27" s="764">
        <v>0</v>
      </c>
      <c r="E27" s="764">
        <v>0</v>
      </c>
      <c r="F27" s="820" t="s">
        <v>386</v>
      </c>
      <c r="G27" s="820" t="s">
        <v>386</v>
      </c>
      <c r="H27" s="764">
        <v>0</v>
      </c>
      <c r="I27" s="820" t="s">
        <v>386</v>
      </c>
      <c r="J27" s="764">
        <v>0</v>
      </c>
      <c r="K27" s="764">
        <v>0</v>
      </c>
      <c r="L27" s="822">
        <v>0</v>
      </c>
      <c r="M27" s="27"/>
      <c r="N27" s="27"/>
    </row>
    <row r="28" spans="1:14" ht="23.25" customHeight="1">
      <c r="A28" s="678" t="s">
        <v>379</v>
      </c>
      <c r="B28" s="820" t="s">
        <v>386</v>
      </c>
      <c r="C28" s="772">
        <v>100629</v>
      </c>
      <c r="D28" s="764">
        <v>0</v>
      </c>
      <c r="E28" s="772">
        <v>2229</v>
      </c>
      <c r="F28" s="772">
        <v>127</v>
      </c>
      <c r="G28" s="772">
        <v>556</v>
      </c>
      <c r="H28" s="820" t="s">
        <v>386</v>
      </c>
      <c r="I28" s="820" t="s">
        <v>386</v>
      </c>
      <c r="J28" s="820" t="s">
        <v>386</v>
      </c>
      <c r="K28" s="820" t="s">
        <v>386</v>
      </c>
      <c r="L28" s="821" t="s">
        <v>386</v>
      </c>
      <c r="M28" s="27"/>
      <c r="N28" s="27"/>
    </row>
    <row r="29" spans="1:14" ht="23.25" customHeight="1">
      <c r="A29" s="678" t="s">
        <v>380</v>
      </c>
      <c r="B29" s="820" t="s">
        <v>386</v>
      </c>
      <c r="C29" s="772">
        <v>56528</v>
      </c>
      <c r="D29" s="764">
        <v>0</v>
      </c>
      <c r="E29" s="764">
        <v>0</v>
      </c>
      <c r="F29" s="772">
        <v>11</v>
      </c>
      <c r="G29" s="820" t="s">
        <v>386</v>
      </c>
      <c r="H29" s="820" t="s">
        <v>386</v>
      </c>
      <c r="I29" s="820" t="s">
        <v>386</v>
      </c>
      <c r="J29" s="772">
        <v>0</v>
      </c>
      <c r="K29" s="820" t="s">
        <v>386</v>
      </c>
      <c r="L29" s="809">
        <v>68</v>
      </c>
      <c r="M29" s="27"/>
      <c r="N29" s="27"/>
    </row>
    <row r="30" spans="1:14" ht="23.25" customHeight="1">
      <c r="A30" s="678" t="s">
        <v>381</v>
      </c>
      <c r="B30" s="820" t="s">
        <v>386</v>
      </c>
      <c r="C30" s="772">
        <v>10649</v>
      </c>
      <c r="D30" s="764">
        <v>0</v>
      </c>
      <c r="E30" s="764">
        <v>0</v>
      </c>
      <c r="F30" s="772">
        <v>4</v>
      </c>
      <c r="G30" s="820" t="s">
        <v>386</v>
      </c>
      <c r="H30" s="764">
        <v>0</v>
      </c>
      <c r="I30" s="820" t="s">
        <v>386</v>
      </c>
      <c r="J30" s="772">
        <v>0</v>
      </c>
      <c r="K30" s="820" t="s">
        <v>386</v>
      </c>
      <c r="L30" s="821" t="s">
        <v>386</v>
      </c>
      <c r="M30" s="27"/>
      <c r="N30" s="27"/>
    </row>
    <row r="31" spans="1:14" ht="23.25" customHeight="1">
      <c r="A31" s="678" t="s">
        <v>94</v>
      </c>
      <c r="B31" s="820" t="s">
        <v>386</v>
      </c>
      <c r="C31" s="772">
        <v>53553</v>
      </c>
      <c r="D31" s="764">
        <v>0</v>
      </c>
      <c r="E31" s="764">
        <v>43</v>
      </c>
      <c r="F31" s="772">
        <v>29</v>
      </c>
      <c r="G31" s="820" t="s">
        <v>386</v>
      </c>
      <c r="H31" s="764">
        <v>0</v>
      </c>
      <c r="I31" s="820" t="s">
        <v>386</v>
      </c>
      <c r="J31" s="820" t="s">
        <v>386</v>
      </c>
      <c r="K31" s="820" t="s">
        <v>386</v>
      </c>
      <c r="L31" s="821" t="s">
        <v>386</v>
      </c>
      <c r="M31" s="27"/>
      <c r="N31" s="27"/>
    </row>
    <row r="32" spans="1:14" ht="23.25" customHeight="1">
      <c r="A32" s="678" t="s">
        <v>382</v>
      </c>
      <c r="B32" s="820" t="s">
        <v>386</v>
      </c>
      <c r="C32" s="793">
        <v>144259</v>
      </c>
      <c r="D32" s="764">
        <v>0</v>
      </c>
      <c r="E32" s="820" t="s">
        <v>386</v>
      </c>
      <c r="F32" s="820" t="s">
        <v>386</v>
      </c>
      <c r="G32" s="820" t="s">
        <v>386</v>
      </c>
      <c r="H32" s="820" t="s">
        <v>386</v>
      </c>
      <c r="I32" s="820" t="s">
        <v>386</v>
      </c>
      <c r="J32" s="820" t="s">
        <v>386</v>
      </c>
      <c r="K32" s="820" t="s">
        <v>386</v>
      </c>
      <c r="L32" s="821" t="s">
        <v>386</v>
      </c>
      <c r="M32" s="27"/>
      <c r="N32" s="27"/>
    </row>
    <row r="33" spans="1:14" ht="23.25" customHeight="1">
      <c r="A33" s="678" t="s">
        <v>96</v>
      </c>
      <c r="B33" s="820" t="s">
        <v>386</v>
      </c>
      <c r="C33" s="772">
        <v>58025</v>
      </c>
      <c r="D33" s="764">
        <v>0</v>
      </c>
      <c r="E33" s="820" t="s">
        <v>386</v>
      </c>
      <c r="F33" s="772">
        <v>104</v>
      </c>
      <c r="G33" s="820" t="s">
        <v>386</v>
      </c>
      <c r="H33" s="820" t="s">
        <v>386</v>
      </c>
      <c r="I33" s="820" t="s">
        <v>386</v>
      </c>
      <c r="J33" s="772">
        <v>1071</v>
      </c>
      <c r="K33" s="820" t="s">
        <v>386</v>
      </c>
      <c r="L33" s="822">
        <v>161</v>
      </c>
      <c r="M33" s="27"/>
      <c r="N33" s="27"/>
    </row>
    <row r="34" spans="1:13" ht="23.25" customHeight="1" thickBot="1">
      <c r="A34" s="689" t="s">
        <v>97</v>
      </c>
      <c r="B34" s="823" t="s">
        <v>386</v>
      </c>
      <c r="C34" s="823" t="s">
        <v>386</v>
      </c>
      <c r="D34" s="812">
        <v>0</v>
      </c>
      <c r="E34" s="823" t="s">
        <v>386</v>
      </c>
      <c r="F34" s="823" t="s">
        <v>386</v>
      </c>
      <c r="G34" s="823" t="s">
        <v>386</v>
      </c>
      <c r="H34" s="824">
        <v>0</v>
      </c>
      <c r="I34" s="823" t="s">
        <v>386</v>
      </c>
      <c r="J34" s="823" t="s">
        <v>386</v>
      </c>
      <c r="K34" s="823" t="s">
        <v>386</v>
      </c>
      <c r="L34" s="825" t="s">
        <v>386</v>
      </c>
      <c r="M34" s="27"/>
    </row>
    <row r="35" spans="5:12" ht="13.5">
      <c r="E35" s="27"/>
      <c r="F35" s="27"/>
      <c r="G35" s="27"/>
      <c r="H35" s="27"/>
      <c r="I35" s="27"/>
      <c r="L35" s="27"/>
    </row>
    <row r="36" spans="5:12" ht="13.5">
      <c r="E36" s="27"/>
      <c r="F36" s="27"/>
      <c r="G36" s="27"/>
      <c r="H36" s="27"/>
      <c r="I36" s="27"/>
      <c r="J36" s="27"/>
      <c r="K36" s="27"/>
      <c r="L36" s="27"/>
    </row>
    <row r="37" spans="5:12" ht="13.5">
      <c r="E37" s="27"/>
      <c r="F37" s="27"/>
      <c r="G37" s="27"/>
      <c r="H37" s="27"/>
      <c r="I37" s="27"/>
      <c r="J37" s="27"/>
      <c r="K37" s="27"/>
      <c r="L37" s="27"/>
    </row>
    <row r="38" spans="5:12" ht="13.5">
      <c r="E38" s="27"/>
      <c r="F38" s="27"/>
      <c r="G38" s="27"/>
      <c r="H38" s="27"/>
      <c r="I38" s="27"/>
      <c r="J38" s="27"/>
      <c r="K38" s="27"/>
      <c r="L38" s="27"/>
    </row>
    <row r="39" spans="5:12" ht="13.5">
      <c r="E39" s="27"/>
      <c r="F39" s="27"/>
      <c r="G39" s="27"/>
      <c r="H39" s="27"/>
      <c r="I39" s="27"/>
      <c r="J39" s="27"/>
      <c r="K39" s="27"/>
      <c r="L39" s="27"/>
    </row>
    <row r="43" ht="13.5">
      <c r="D43" s="27"/>
    </row>
    <row r="99" ht="13.5">
      <c r="M99" s="27"/>
    </row>
    <row r="102" ht="13.5">
      <c r="E102" s="27"/>
    </row>
    <row r="103" ht="13.5">
      <c r="E103" s="27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7" r:id="rId1"/>
  <headerFooter alignWithMargins="0">
    <oddFooter>&amp;C- 55 -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23"/>
  <sheetViews>
    <sheetView zoomScaleSheetLayoutView="100" workbookViewId="0" topLeftCell="F1">
      <selection activeCell="Y2" sqref="Y2"/>
    </sheetView>
  </sheetViews>
  <sheetFormatPr defaultColWidth="9.00390625" defaultRowHeight="13.5"/>
  <cols>
    <col min="1" max="10" width="8.50390625" style="0" customWidth="1"/>
    <col min="11" max="14" width="1.12109375" style="0" customWidth="1"/>
    <col min="15" max="15" width="3.875" style="0" customWidth="1"/>
    <col min="16" max="25" width="8.50390625" style="0" customWidth="1"/>
  </cols>
  <sheetData>
    <row r="1" spans="1:25" ht="14.25" customHeight="1">
      <c r="A1" t="s">
        <v>387</v>
      </c>
      <c r="O1" t="s">
        <v>388</v>
      </c>
      <c r="X1" s="159"/>
      <c r="Y1" s="159"/>
    </row>
    <row r="2" spans="10:25" ht="11.25" customHeight="1" thickBot="1">
      <c r="J2" s="826" t="s">
        <v>49</v>
      </c>
      <c r="X2" s="161"/>
      <c r="Y2" s="827" t="s">
        <v>109</v>
      </c>
    </row>
    <row r="3" spans="1:25" ht="8.25" customHeight="1">
      <c r="A3" s="152" t="s">
        <v>389</v>
      </c>
      <c r="B3" s="136"/>
      <c r="C3" s="136" t="s">
        <v>390</v>
      </c>
      <c r="D3" s="136"/>
      <c r="E3" s="136" t="s">
        <v>391</v>
      </c>
      <c r="F3" s="136"/>
      <c r="G3" s="136" t="s">
        <v>392</v>
      </c>
      <c r="H3" s="136"/>
      <c r="I3" s="136" t="s">
        <v>393</v>
      </c>
      <c r="J3" s="117"/>
      <c r="K3" s="83"/>
      <c r="L3" s="83"/>
      <c r="M3" s="83"/>
      <c r="O3" s="549" t="s">
        <v>34</v>
      </c>
      <c r="P3" s="550"/>
      <c r="Q3" s="828" t="s">
        <v>394</v>
      </c>
      <c r="R3" s="829" t="s">
        <v>395</v>
      </c>
      <c r="S3" s="830"/>
      <c r="T3" s="830"/>
      <c r="U3" s="830"/>
      <c r="V3" s="830"/>
      <c r="W3" s="830"/>
      <c r="X3" s="830"/>
      <c r="Y3" s="831"/>
    </row>
    <row r="4" spans="1:25" ht="8.25" customHeight="1">
      <c r="A4" s="459"/>
      <c r="B4" s="118"/>
      <c r="C4" s="118"/>
      <c r="D4" s="118"/>
      <c r="E4" s="118"/>
      <c r="F4" s="118"/>
      <c r="G4" s="118"/>
      <c r="H4" s="118"/>
      <c r="I4" s="118"/>
      <c r="J4" s="119"/>
      <c r="K4" s="83"/>
      <c r="L4" s="83"/>
      <c r="M4" s="83"/>
      <c r="O4" s="832"/>
      <c r="P4" s="833"/>
      <c r="Q4" s="834"/>
      <c r="R4" s="835"/>
      <c r="S4" s="836"/>
      <c r="T4" s="836"/>
      <c r="U4" s="836"/>
      <c r="V4" s="836"/>
      <c r="W4" s="836"/>
      <c r="X4" s="836"/>
      <c r="Y4" s="837"/>
    </row>
    <row r="5" spans="1:25" ht="8.25" customHeight="1">
      <c r="A5" s="838">
        <v>82</v>
      </c>
      <c r="B5" s="839"/>
      <c r="C5" s="840">
        <v>4</v>
      </c>
      <c r="D5" s="839"/>
      <c r="E5" s="840">
        <v>6</v>
      </c>
      <c r="F5" s="839"/>
      <c r="G5" s="840">
        <v>1</v>
      </c>
      <c r="H5" s="839"/>
      <c r="I5" s="840">
        <v>5</v>
      </c>
      <c r="J5" s="841"/>
      <c r="K5" s="842"/>
      <c r="L5" s="842"/>
      <c r="M5" s="842"/>
      <c r="O5" s="832"/>
      <c r="P5" s="833"/>
      <c r="Q5" s="834"/>
      <c r="R5" s="843" t="s">
        <v>396</v>
      </c>
      <c r="S5" s="756" t="s">
        <v>397</v>
      </c>
      <c r="T5" s="756" t="s">
        <v>398</v>
      </c>
      <c r="U5" s="756" t="s">
        <v>399</v>
      </c>
      <c r="V5" s="756" t="s">
        <v>400</v>
      </c>
      <c r="W5" s="844" t="s">
        <v>401</v>
      </c>
      <c r="X5" s="845"/>
      <c r="Y5" s="846" t="s">
        <v>402</v>
      </c>
    </row>
    <row r="6" spans="1:25" ht="8.25" customHeight="1">
      <c r="A6" s="847"/>
      <c r="B6" s="848"/>
      <c r="C6" s="849"/>
      <c r="D6" s="848"/>
      <c r="E6" s="849"/>
      <c r="F6" s="848"/>
      <c r="G6" s="849"/>
      <c r="H6" s="848"/>
      <c r="I6" s="849"/>
      <c r="J6" s="850"/>
      <c r="K6" s="842"/>
      <c r="L6" s="842"/>
      <c r="M6" s="842"/>
      <c r="O6" s="832"/>
      <c r="P6" s="833"/>
      <c r="Q6" s="834"/>
      <c r="R6" s="851"/>
      <c r="S6" s="852"/>
      <c r="T6" s="852"/>
      <c r="U6" s="852"/>
      <c r="V6" s="852"/>
      <c r="W6" s="853"/>
      <c r="X6" s="854" t="s">
        <v>403</v>
      </c>
      <c r="Y6" s="855"/>
    </row>
    <row r="7" spans="1:25" ht="8.25" customHeight="1" thickBot="1">
      <c r="A7" s="856"/>
      <c r="B7" s="857"/>
      <c r="C7" s="858"/>
      <c r="D7" s="857"/>
      <c r="E7" s="858"/>
      <c r="F7" s="857"/>
      <c r="G7" s="858"/>
      <c r="H7" s="857"/>
      <c r="I7" s="858"/>
      <c r="J7" s="859"/>
      <c r="K7" s="842"/>
      <c r="L7" s="842"/>
      <c r="M7" s="842"/>
      <c r="O7" s="832"/>
      <c r="P7" s="833"/>
      <c r="Q7" s="834"/>
      <c r="R7" s="851"/>
      <c r="S7" s="852"/>
      <c r="T7" s="852"/>
      <c r="U7" s="852"/>
      <c r="V7" s="852"/>
      <c r="W7" s="853"/>
      <c r="X7" s="860"/>
      <c r="Y7" s="855"/>
    </row>
    <row r="8" spans="1:25" ht="8.25" customHeight="1">
      <c r="A8" s="861"/>
      <c r="B8" s="861"/>
      <c r="C8" s="861"/>
      <c r="D8" s="861"/>
      <c r="E8" s="861"/>
      <c r="F8" s="861"/>
      <c r="G8" s="861"/>
      <c r="H8" s="861"/>
      <c r="I8" s="861"/>
      <c r="J8" s="861"/>
      <c r="K8" s="862"/>
      <c r="L8" s="862"/>
      <c r="M8" s="862"/>
      <c r="O8" s="556"/>
      <c r="P8" s="557"/>
      <c r="Q8" s="863"/>
      <c r="R8" s="864"/>
      <c r="S8" s="759"/>
      <c r="T8" s="759"/>
      <c r="U8" s="759"/>
      <c r="V8" s="759"/>
      <c r="W8" s="865"/>
      <c r="X8" s="866"/>
      <c r="Y8" s="867"/>
    </row>
    <row r="9" spans="1:25" ht="8.25" customHeight="1" thickBot="1">
      <c r="A9" s="234"/>
      <c r="B9" s="862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O9" s="868" t="s">
        <v>159</v>
      </c>
      <c r="P9" s="869"/>
      <c r="Q9" s="870">
        <f aca="true" t="shared" si="0" ref="Q9:Y9">SUM(Q12:Q47)</f>
        <v>2460</v>
      </c>
      <c r="R9" s="870">
        <f t="shared" si="0"/>
        <v>2202</v>
      </c>
      <c r="S9" s="870">
        <f t="shared" si="0"/>
        <v>414</v>
      </c>
      <c r="T9" s="870">
        <f t="shared" si="0"/>
        <v>79</v>
      </c>
      <c r="U9" s="870">
        <f t="shared" si="0"/>
        <v>90</v>
      </c>
      <c r="V9" s="870">
        <f t="shared" si="0"/>
        <v>25</v>
      </c>
      <c r="W9" s="870">
        <f t="shared" si="0"/>
        <v>232</v>
      </c>
      <c r="X9" s="871">
        <f t="shared" si="0"/>
        <v>9</v>
      </c>
      <c r="Y9" s="872">
        <f t="shared" si="0"/>
        <v>132</v>
      </c>
    </row>
    <row r="10" spans="1:25" ht="8.25" customHeight="1">
      <c r="A10" s="315" t="s">
        <v>404</v>
      </c>
      <c r="B10" s="165"/>
      <c r="C10" s="102" t="s">
        <v>405</v>
      </c>
      <c r="D10" s="165"/>
      <c r="E10" s="102" t="s">
        <v>406</v>
      </c>
      <c r="F10" s="165"/>
      <c r="G10" s="102" t="s">
        <v>407</v>
      </c>
      <c r="H10" s="165"/>
      <c r="I10" s="102" t="s">
        <v>408</v>
      </c>
      <c r="J10" s="167"/>
      <c r="K10" s="862"/>
      <c r="L10" s="862"/>
      <c r="M10" s="862"/>
      <c r="O10" s="873"/>
      <c r="P10" s="874"/>
      <c r="Q10" s="871"/>
      <c r="R10" s="871"/>
      <c r="S10" s="871"/>
      <c r="T10" s="871"/>
      <c r="U10" s="871"/>
      <c r="V10" s="871"/>
      <c r="W10" s="871"/>
      <c r="X10" s="871"/>
      <c r="Y10" s="875"/>
    </row>
    <row r="11" spans="1:25" ht="8.25" customHeight="1">
      <c r="A11" s="318"/>
      <c r="B11" s="177"/>
      <c r="C11" s="104"/>
      <c r="D11" s="177"/>
      <c r="E11" s="104"/>
      <c r="F11" s="177"/>
      <c r="G11" s="104"/>
      <c r="H11" s="177"/>
      <c r="I11" s="104"/>
      <c r="J11" s="181"/>
      <c r="O11" s="876"/>
      <c r="P11" s="877"/>
      <c r="Q11" s="878"/>
      <c r="R11" s="878"/>
      <c r="S11" s="878"/>
      <c r="T11" s="878"/>
      <c r="U11" s="878"/>
      <c r="V11" s="878"/>
      <c r="W11" s="878"/>
      <c r="X11" s="878"/>
      <c r="Y11" s="879"/>
    </row>
    <row r="12" spans="1:25" ht="8.25" customHeight="1">
      <c r="A12" s="847">
        <v>7</v>
      </c>
      <c r="B12" s="848"/>
      <c r="C12" s="849">
        <v>13</v>
      </c>
      <c r="D12" s="848"/>
      <c r="E12" s="849">
        <v>11</v>
      </c>
      <c r="F12" s="848"/>
      <c r="G12" s="849">
        <v>2</v>
      </c>
      <c r="H12" s="848"/>
      <c r="I12" s="880">
        <v>18</v>
      </c>
      <c r="J12" s="850"/>
      <c r="O12" s="868" t="s">
        <v>86</v>
      </c>
      <c r="P12" s="869"/>
      <c r="Q12" s="870">
        <v>148</v>
      </c>
      <c r="R12" s="870">
        <v>142</v>
      </c>
      <c r="S12" s="870">
        <v>8</v>
      </c>
      <c r="T12" s="870">
        <v>4</v>
      </c>
      <c r="U12" s="870">
        <v>4</v>
      </c>
      <c r="V12" s="870">
        <v>3</v>
      </c>
      <c r="W12" s="870">
        <v>20</v>
      </c>
      <c r="X12" s="870">
        <v>0</v>
      </c>
      <c r="Y12" s="872">
        <v>4</v>
      </c>
    </row>
    <row r="13" spans="1:25" ht="8.25" customHeight="1">
      <c r="A13" s="847"/>
      <c r="B13" s="848"/>
      <c r="C13" s="849"/>
      <c r="D13" s="848"/>
      <c r="E13" s="849"/>
      <c r="F13" s="848"/>
      <c r="G13" s="849"/>
      <c r="H13" s="848"/>
      <c r="I13" s="880"/>
      <c r="J13" s="850"/>
      <c r="K13" s="355"/>
      <c r="L13" s="355"/>
      <c r="M13" s="355"/>
      <c r="O13" s="873"/>
      <c r="P13" s="874"/>
      <c r="Q13" s="871"/>
      <c r="R13" s="871"/>
      <c r="S13" s="871"/>
      <c r="T13" s="871"/>
      <c r="U13" s="871"/>
      <c r="V13" s="871"/>
      <c r="W13" s="871"/>
      <c r="X13" s="871"/>
      <c r="Y13" s="875"/>
    </row>
    <row r="14" spans="1:25" ht="8.25" customHeight="1" thickBot="1">
      <c r="A14" s="856"/>
      <c r="B14" s="857"/>
      <c r="C14" s="858"/>
      <c r="D14" s="857"/>
      <c r="E14" s="858"/>
      <c r="F14" s="857"/>
      <c r="G14" s="858"/>
      <c r="H14" s="857"/>
      <c r="I14" s="881"/>
      <c r="J14" s="859"/>
      <c r="K14" s="355"/>
      <c r="L14" s="355"/>
      <c r="M14" s="355"/>
      <c r="O14" s="876"/>
      <c r="P14" s="877"/>
      <c r="Q14" s="878"/>
      <c r="R14" s="878"/>
      <c r="S14" s="878"/>
      <c r="T14" s="878"/>
      <c r="U14" s="878"/>
      <c r="V14" s="878"/>
      <c r="W14" s="878"/>
      <c r="X14" s="878"/>
      <c r="Y14" s="879"/>
    </row>
    <row r="15" spans="1:25" ht="8.25" customHeight="1" thickBot="1">
      <c r="A15" s="882"/>
      <c r="B15" s="882"/>
      <c r="C15" s="882"/>
      <c r="D15" s="882"/>
      <c r="E15" s="882"/>
      <c r="F15" s="882"/>
      <c r="G15" s="882"/>
      <c r="H15" s="882"/>
      <c r="I15" s="882"/>
      <c r="J15" s="882"/>
      <c r="K15" s="842"/>
      <c r="L15" s="842"/>
      <c r="M15" s="842"/>
      <c r="O15" s="868" t="s">
        <v>87</v>
      </c>
      <c r="P15" s="869"/>
      <c r="Q15" s="870">
        <v>156</v>
      </c>
      <c r="R15" s="870">
        <v>147</v>
      </c>
      <c r="S15" s="870">
        <v>5</v>
      </c>
      <c r="T15" s="870">
        <v>2</v>
      </c>
      <c r="U15" s="870">
        <v>5</v>
      </c>
      <c r="V15" s="870">
        <v>1</v>
      </c>
      <c r="W15" s="870">
        <v>14</v>
      </c>
      <c r="X15" s="870">
        <v>0</v>
      </c>
      <c r="Y15" s="872">
        <v>2</v>
      </c>
    </row>
    <row r="16" spans="1:25" ht="8.25" customHeight="1">
      <c r="A16" s="883" t="s">
        <v>409</v>
      </c>
      <c r="B16" s="884"/>
      <c r="C16" s="884" t="s">
        <v>410</v>
      </c>
      <c r="D16" s="884"/>
      <c r="E16" s="884" t="s">
        <v>411</v>
      </c>
      <c r="F16" s="885"/>
      <c r="G16" s="886"/>
      <c r="H16" s="886"/>
      <c r="I16" s="886"/>
      <c r="J16" s="886"/>
      <c r="K16" s="842"/>
      <c r="L16" s="842"/>
      <c r="M16" s="842"/>
      <c r="O16" s="873"/>
      <c r="P16" s="874"/>
      <c r="Q16" s="871"/>
      <c r="R16" s="871"/>
      <c r="S16" s="871"/>
      <c r="T16" s="871"/>
      <c r="U16" s="871"/>
      <c r="V16" s="871"/>
      <c r="W16" s="871"/>
      <c r="X16" s="871"/>
      <c r="Y16" s="875"/>
    </row>
    <row r="17" spans="1:25" ht="8.25" customHeight="1">
      <c r="A17" s="887"/>
      <c r="B17" s="888"/>
      <c r="C17" s="888"/>
      <c r="D17" s="888"/>
      <c r="E17" s="888"/>
      <c r="F17" s="889"/>
      <c r="G17" s="886"/>
      <c r="H17" s="886"/>
      <c r="I17" s="886"/>
      <c r="J17" s="886"/>
      <c r="K17" s="842"/>
      <c r="L17" s="842"/>
      <c r="M17" s="842"/>
      <c r="O17" s="876"/>
      <c r="P17" s="877"/>
      <c r="Q17" s="878"/>
      <c r="R17" s="878"/>
      <c r="S17" s="878"/>
      <c r="T17" s="878"/>
      <c r="U17" s="878"/>
      <c r="V17" s="878"/>
      <c r="W17" s="878"/>
      <c r="X17" s="878"/>
      <c r="Y17" s="879"/>
    </row>
    <row r="18" spans="1:25" ht="8.25" customHeight="1">
      <c r="A18" s="890">
        <v>2</v>
      </c>
      <c r="B18" s="265"/>
      <c r="C18" s="265">
        <v>5</v>
      </c>
      <c r="D18" s="265"/>
      <c r="E18" s="265">
        <v>40</v>
      </c>
      <c r="F18" s="266"/>
      <c r="G18" s="880"/>
      <c r="H18" s="880"/>
      <c r="I18" s="880"/>
      <c r="J18" s="880"/>
      <c r="K18" s="862"/>
      <c r="L18" s="862"/>
      <c r="M18" s="862"/>
      <c r="O18" s="868" t="s">
        <v>88</v>
      </c>
      <c r="P18" s="869"/>
      <c r="Q18" s="870">
        <v>141</v>
      </c>
      <c r="R18" s="870">
        <v>134</v>
      </c>
      <c r="S18" s="870">
        <v>13</v>
      </c>
      <c r="T18" s="870">
        <v>1</v>
      </c>
      <c r="U18" s="870">
        <v>4</v>
      </c>
      <c r="V18" s="870">
        <v>1</v>
      </c>
      <c r="W18" s="870">
        <v>11</v>
      </c>
      <c r="X18" s="870">
        <v>0</v>
      </c>
      <c r="Y18" s="872">
        <v>10</v>
      </c>
    </row>
    <row r="19" spans="1:25" ht="8.25" customHeight="1">
      <c r="A19" s="890"/>
      <c r="B19" s="265"/>
      <c r="C19" s="265"/>
      <c r="D19" s="265"/>
      <c r="E19" s="265"/>
      <c r="F19" s="266"/>
      <c r="G19" s="880"/>
      <c r="H19" s="880"/>
      <c r="I19" s="880"/>
      <c r="J19" s="880"/>
      <c r="K19" s="862"/>
      <c r="L19" s="862"/>
      <c r="M19" s="862"/>
      <c r="O19" s="873"/>
      <c r="P19" s="874"/>
      <c r="Q19" s="871"/>
      <c r="R19" s="871"/>
      <c r="S19" s="871"/>
      <c r="T19" s="871"/>
      <c r="U19" s="871"/>
      <c r="V19" s="871"/>
      <c r="W19" s="871"/>
      <c r="X19" s="871"/>
      <c r="Y19" s="875"/>
    </row>
    <row r="20" spans="1:25" ht="8.25" customHeight="1" thickBot="1">
      <c r="A20" s="891"/>
      <c r="B20" s="279"/>
      <c r="C20" s="279"/>
      <c r="D20" s="279"/>
      <c r="E20" s="279"/>
      <c r="F20" s="892"/>
      <c r="G20" s="880"/>
      <c r="H20" s="880"/>
      <c r="I20" s="880"/>
      <c r="J20" s="880"/>
      <c r="K20" s="862"/>
      <c r="L20" s="862"/>
      <c r="M20" s="862"/>
      <c r="O20" s="876"/>
      <c r="P20" s="877"/>
      <c r="Q20" s="878"/>
      <c r="R20" s="878"/>
      <c r="S20" s="878"/>
      <c r="T20" s="878"/>
      <c r="U20" s="878"/>
      <c r="V20" s="878"/>
      <c r="W20" s="878"/>
      <c r="X20" s="878"/>
      <c r="Y20" s="879"/>
    </row>
    <row r="21" spans="15:25" ht="8.25" customHeight="1">
      <c r="O21" s="868" t="s">
        <v>89</v>
      </c>
      <c r="P21" s="869"/>
      <c r="Q21" s="870">
        <v>42</v>
      </c>
      <c r="R21" s="870">
        <v>41</v>
      </c>
      <c r="S21" s="870">
        <v>1</v>
      </c>
      <c r="T21" s="870">
        <v>0</v>
      </c>
      <c r="U21" s="870">
        <v>1</v>
      </c>
      <c r="V21" s="870">
        <v>0</v>
      </c>
      <c r="W21" s="870">
        <v>4</v>
      </c>
      <c r="X21" s="870">
        <v>0</v>
      </c>
      <c r="Y21" s="872">
        <v>4</v>
      </c>
    </row>
    <row r="22" spans="9:25" ht="8.25" customHeight="1">
      <c r="I22" s="455"/>
      <c r="O22" s="873"/>
      <c r="P22" s="874"/>
      <c r="Q22" s="871"/>
      <c r="R22" s="871"/>
      <c r="S22" s="871"/>
      <c r="T22" s="871"/>
      <c r="U22" s="871"/>
      <c r="V22" s="871"/>
      <c r="W22" s="871"/>
      <c r="X22" s="871"/>
      <c r="Y22" s="875"/>
    </row>
    <row r="23" spans="9:25" ht="8.25" customHeight="1">
      <c r="I23" s="455"/>
      <c r="K23" s="455"/>
      <c r="L23" s="455"/>
      <c r="M23" s="455"/>
      <c r="O23" s="876"/>
      <c r="P23" s="877"/>
      <c r="Q23" s="878"/>
      <c r="R23" s="878"/>
      <c r="S23" s="878"/>
      <c r="T23" s="878"/>
      <c r="U23" s="878"/>
      <c r="V23" s="878"/>
      <c r="W23" s="878"/>
      <c r="X23" s="878"/>
      <c r="Y23" s="879"/>
    </row>
    <row r="24" spans="1:25" ht="8.25" customHeight="1">
      <c r="A24" s="893" t="s">
        <v>412</v>
      </c>
      <c r="B24" s="893"/>
      <c r="C24" s="893"/>
      <c r="D24" s="893"/>
      <c r="E24" s="893"/>
      <c r="F24" s="893"/>
      <c r="G24" s="893"/>
      <c r="H24" s="893"/>
      <c r="I24" s="893"/>
      <c r="J24" s="893"/>
      <c r="K24" s="455"/>
      <c r="L24" s="455"/>
      <c r="M24" s="455"/>
      <c r="O24" s="868" t="s">
        <v>90</v>
      </c>
      <c r="P24" s="869"/>
      <c r="Q24" s="870">
        <v>32</v>
      </c>
      <c r="R24" s="870">
        <v>30</v>
      </c>
      <c r="S24" s="870">
        <v>0</v>
      </c>
      <c r="T24" s="870">
        <v>0</v>
      </c>
      <c r="U24" s="870">
        <v>0</v>
      </c>
      <c r="V24" s="870">
        <v>0</v>
      </c>
      <c r="W24" s="870">
        <v>2</v>
      </c>
      <c r="X24" s="870">
        <v>0</v>
      </c>
      <c r="Y24" s="872">
        <v>2</v>
      </c>
    </row>
    <row r="25" spans="1:25" ht="8.25" customHeight="1">
      <c r="A25" s="893"/>
      <c r="B25" s="893"/>
      <c r="C25" s="893"/>
      <c r="D25" s="893"/>
      <c r="E25" s="893"/>
      <c r="F25" s="893"/>
      <c r="G25" s="893"/>
      <c r="H25" s="893"/>
      <c r="I25" s="893"/>
      <c r="J25" s="893"/>
      <c r="K25" s="455"/>
      <c r="L25" s="455"/>
      <c r="M25" s="455"/>
      <c r="O25" s="873"/>
      <c r="P25" s="874"/>
      <c r="Q25" s="871"/>
      <c r="R25" s="871"/>
      <c r="S25" s="871"/>
      <c r="T25" s="871"/>
      <c r="U25" s="871"/>
      <c r="V25" s="871"/>
      <c r="W25" s="871"/>
      <c r="X25" s="871"/>
      <c r="Y25" s="875"/>
    </row>
    <row r="26" spans="1:25" ht="5.25" customHeight="1">
      <c r="A26" s="455"/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O26" s="876"/>
      <c r="P26" s="877"/>
      <c r="Q26" s="878"/>
      <c r="R26" s="878"/>
      <c r="S26" s="878"/>
      <c r="T26" s="878"/>
      <c r="U26" s="878"/>
      <c r="V26" s="878"/>
      <c r="W26" s="878"/>
      <c r="X26" s="878"/>
      <c r="Y26" s="879"/>
    </row>
    <row r="27" spans="1:25" ht="11.25" customHeight="1" thickBot="1">
      <c r="A27" s="894"/>
      <c r="B27" s="894"/>
      <c r="C27" s="455"/>
      <c r="D27" s="455"/>
      <c r="E27" s="455"/>
      <c r="F27" s="455"/>
      <c r="G27" s="455"/>
      <c r="H27" s="455"/>
      <c r="I27" s="455"/>
      <c r="J27" s="826" t="s">
        <v>49</v>
      </c>
      <c r="K27" s="244"/>
      <c r="L27" s="244"/>
      <c r="M27" s="244"/>
      <c r="O27" s="868" t="s">
        <v>91</v>
      </c>
      <c r="P27" s="869"/>
      <c r="Q27" s="870">
        <v>452</v>
      </c>
      <c r="R27" s="870">
        <v>441</v>
      </c>
      <c r="S27" s="870">
        <v>42</v>
      </c>
      <c r="T27" s="870">
        <v>5</v>
      </c>
      <c r="U27" s="870">
        <v>7</v>
      </c>
      <c r="V27" s="870">
        <v>2</v>
      </c>
      <c r="W27" s="870">
        <v>30</v>
      </c>
      <c r="X27" s="870">
        <v>1</v>
      </c>
      <c r="Y27" s="872">
        <v>28</v>
      </c>
    </row>
    <row r="28" spans="1:25" ht="8.25" customHeight="1">
      <c r="A28" s="152" t="s">
        <v>389</v>
      </c>
      <c r="B28" s="136"/>
      <c r="C28" s="136" t="s">
        <v>413</v>
      </c>
      <c r="D28" s="136"/>
      <c r="E28" s="136" t="s">
        <v>414</v>
      </c>
      <c r="F28" s="136"/>
      <c r="G28" s="136" t="s">
        <v>415</v>
      </c>
      <c r="H28" s="136"/>
      <c r="I28" s="136" t="s">
        <v>416</v>
      </c>
      <c r="J28" s="117"/>
      <c r="K28" s="244"/>
      <c r="L28" s="244"/>
      <c r="M28" s="244"/>
      <c r="O28" s="873"/>
      <c r="P28" s="874"/>
      <c r="Q28" s="871"/>
      <c r="R28" s="871"/>
      <c r="S28" s="871"/>
      <c r="T28" s="871"/>
      <c r="U28" s="871"/>
      <c r="V28" s="871"/>
      <c r="W28" s="871"/>
      <c r="X28" s="871"/>
      <c r="Y28" s="875"/>
    </row>
    <row r="29" spans="1:25" ht="8.25" customHeight="1">
      <c r="A29" s="459"/>
      <c r="B29" s="118"/>
      <c r="C29" s="118"/>
      <c r="D29" s="118"/>
      <c r="E29" s="118"/>
      <c r="F29" s="118"/>
      <c r="G29" s="118"/>
      <c r="H29" s="118"/>
      <c r="I29" s="118"/>
      <c r="J29" s="119"/>
      <c r="K29" s="244"/>
      <c r="L29" s="244"/>
      <c r="M29" s="244"/>
      <c r="O29" s="876"/>
      <c r="P29" s="877"/>
      <c r="Q29" s="878"/>
      <c r="R29" s="878"/>
      <c r="S29" s="878"/>
      <c r="T29" s="878"/>
      <c r="U29" s="878"/>
      <c r="V29" s="878"/>
      <c r="W29" s="878"/>
      <c r="X29" s="878"/>
      <c r="Y29" s="879"/>
    </row>
    <row r="30" spans="1:25" ht="8.25" customHeight="1">
      <c r="A30" s="838">
        <v>61</v>
      </c>
      <c r="B30" s="839"/>
      <c r="C30" s="840">
        <v>53</v>
      </c>
      <c r="D30" s="839"/>
      <c r="E30" s="840">
        <v>12</v>
      </c>
      <c r="F30" s="839"/>
      <c r="G30" s="840">
        <v>5</v>
      </c>
      <c r="H30" s="839"/>
      <c r="I30" s="840">
        <v>2</v>
      </c>
      <c r="J30" s="841"/>
      <c r="O30" s="868" t="s">
        <v>92</v>
      </c>
      <c r="P30" s="869"/>
      <c r="Q30" s="870">
        <v>254</v>
      </c>
      <c r="R30" s="870">
        <v>247</v>
      </c>
      <c r="S30" s="870">
        <v>15</v>
      </c>
      <c r="T30" s="870">
        <v>1</v>
      </c>
      <c r="U30" s="870">
        <v>3</v>
      </c>
      <c r="V30" s="870">
        <v>0</v>
      </c>
      <c r="W30" s="870">
        <v>18</v>
      </c>
      <c r="X30" s="870">
        <v>0</v>
      </c>
      <c r="Y30" s="872">
        <v>18</v>
      </c>
    </row>
    <row r="31" spans="1:25" ht="8.25" customHeight="1">
      <c r="A31" s="847"/>
      <c r="B31" s="848"/>
      <c r="C31" s="849"/>
      <c r="D31" s="848"/>
      <c r="E31" s="849"/>
      <c r="F31" s="848"/>
      <c r="G31" s="849"/>
      <c r="H31" s="848"/>
      <c r="I31" s="849"/>
      <c r="J31" s="850"/>
      <c r="O31" s="873"/>
      <c r="P31" s="874"/>
      <c r="Q31" s="871"/>
      <c r="R31" s="871"/>
      <c r="S31" s="871"/>
      <c r="T31" s="871"/>
      <c r="U31" s="871"/>
      <c r="V31" s="871"/>
      <c r="W31" s="871"/>
      <c r="X31" s="871"/>
      <c r="Y31" s="875"/>
    </row>
    <row r="32" spans="1:25" ht="8.25" customHeight="1" thickBot="1">
      <c r="A32" s="856"/>
      <c r="B32" s="857"/>
      <c r="C32" s="858"/>
      <c r="D32" s="857"/>
      <c r="E32" s="858"/>
      <c r="F32" s="857"/>
      <c r="G32" s="858"/>
      <c r="H32" s="857"/>
      <c r="I32" s="858"/>
      <c r="J32" s="859"/>
      <c r="O32" s="876"/>
      <c r="P32" s="877"/>
      <c r="Q32" s="878"/>
      <c r="R32" s="878"/>
      <c r="S32" s="878"/>
      <c r="T32" s="878"/>
      <c r="U32" s="878"/>
      <c r="V32" s="878"/>
      <c r="W32" s="878"/>
      <c r="X32" s="878"/>
      <c r="Y32" s="879"/>
    </row>
    <row r="33" spans="1:25" ht="8.25" customHeight="1">
      <c r="A33" s="894"/>
      <c r="B33" s="894"/>
      <c r="C33" s="894"/>
      <c r="D33" s="895"/>
      <c r="E33" s="895"/>
      <c r="F33" s="895"/>
      <c r="G33" s="895"/>
      <c r="H33" s="895"/>
      <c r="O33" s="868" t="s">
        <v>93</v>
      </c>
      <c r="P33" s="869"/>
      <c r="Q33" s="870">
        <v>36</v>
      </c>
      <c r="R33" s="870">
        <v>34</v>
      </c>
      <c r="S33" s="870">
        <v>3</v>
      </c>
      <c r="T33" s="870">
        <v>0</v>
      </c>
      <c r="U33" s="870">
        <v>0</v>
      </c>
      <c r="V33" s="870">
        <v>0</v>
      </c>
      <c r="W33" s="870">
        <v>3</v>
      </c>
      <c r="X33" s="870">
        <v>0</v>
      </c>
      <c r="Y33" s="872">
        <v>2</v>
      </c>
    </row>
    <row r="34" spans="1:25" ht="8.25" customHeight="1">
      <c r="A34" s="895"/>
      <c r="B34" s="895"/>
      <c r="C34" s="895"/>
      <c r="D34" s="896"/>
      <c r="E34" s="896"/>
      <c r="F34" s="896"/>
      <c r="G34" s="896"/>
      <c r="H34" s="896"/>
      <c r="O34" s="873"/>
      <c r="P34" s="874"/>
      <c r="Q34" s="871"/>
      <c r="R34" s="871"/>
      <c r="S34" s="871"/>
      <c r="T34" s="871"/>
      <c r="U34" s="871"/>
      <c r="V34" s="871"/>
      <c r="W34" s="871"/>
      <c r="X34" s="871"/>
      <c r="Y34" s="875"/>
    </row>
    <row r="35" spans="1:25" ht="8.25" customHeight="1">
      <c r="A35" s="244"/>
      <c r="B35" s="244"/>
      <c r="C35" s="244"/>
      <c r="D35" s="244"/>
      <c r="E35" s="244"/>
      <c r="F35" s="244"/>
      <c r="G35" s="244"/>
      <c r="H35" s="244"/>
      <c r="I35" s="455"/>
      <c r="J35" s="455"/>
      <c r="K35" s="455"/>
      <c r="L35" s="455"/>
      <c r="M35" s="455"/>
      <c r="O35" s="876"/>
      <c r="P35" s="877"/>
      <c r="Q35" s="878"/>
      <c r="R35" s="878"/>
      <c r="S35" s="878"/>
      <c r="T35" s="878"/>
      <c r="U35" s="878"/>
      <c r="V35" s="878"/>
      <c r="W35" s="878"/>
      <c r="X35" s="878"/>
      <c r="Y35" s="879"/>
    </row>
    <row r="36" spans="1:25" ht="8.25" customHeight="1">
      <c r="A36" s="893" t="s">
        <v>417</v>
      </c>
      <c r="B36" s="893"/>
      <c r="C36" s="893"/>
      <c r="D36" s="893"/>
      <c r="E36" s="893"/>
      <c r="F36" s="893"/>
      <c r="G36" s="893"/>
      <c r="H36" s="893"/>
      <c r="I36" s="893"/>
      <c r="J36" s="893"/>
      <c r="K36" s="455"/>
      <c r="L36" s="455"/>
      <c r="M36" s="455"/>
      <c r="O36" s="868" t="s">
        <v>94</v>
      </c>
      <c r="P36" s="869"/>
      <c r="Q36" s="870">
        <v>193</v>
      </c>
      <c r="R36" s="870">
        <v>129</v>
      </c>
      <c r="S36" s="870">
        <v>83</v>
      </c>
      <c r="T36" s="870">
        <v>10</v>
      </c>
      <c r="U36" s="870">
        <v>12</v>
      </c>
      <c r="V36" s="870">
        <v>4</v>
      </c>
      <c r="W36" s="870">
        <v>20</v>
      </c>
      <c r="X36" s="870">
        <v>2</v>
      </c>
      <c r="Y36" s="872">
        <v>9</v>
      </c>
    </row>
    <row r="37" spans="1:25" ht="8.25" customHeight="1">
      <c r="A37" s="893"/>
      <c r="B37" s="893"/>
      <c r="C37" s="893"/>
      <c r="D37" s="893"/>
      <c r="E37" s="893"/>
      <c r="F37" s="893"/>
      <c r="G37" s="893"/>
      <c r="H37" s="893"/>
      <c r="I37" s="893"/>
      <c r="J37" s="893"/>
      <c r="K37" s="455"/>
      <c r="L37" s="455"/>
      <c r="M37" s="455"/>
      <c r="O37" s="873"/>
      <c r="P37" s="874"/>
      <c r="Q37" s="871"/>
      <c r="R37" s="871"/>
      <c r="S37" s="871"/>
      <c r="T37" s="871"/>
      <c r="U37" s="871"/>
      <c r="V37" s="871"/>
      <c r="W37" s="871"/>
      <c r="X37" s="871"/>
      <c r="Y37" s="875"/>
    </row>
    <row r="38" spans="1:25" ht="8.25" customHeight="1" thickBo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455"/>
      <c r="L38" s="455"/>
      <c r="M38" s="455"/>
      <c r="O38" s="876"/>
      <c r="P38" s="877"/>
      <c r="Q38" s="878"/>
      <c r="R38" s="878"/>
      <c r="S38" s="878"/>
      <c r="T38" s="878"/>
      <c r="U38" s="878"/>
      <c r="V38" s="878"/>
      <c r="W38" s="878"/>
      <c r="X38" s="878"/>
      <c r="Y38" s="879"/>
    </row>
    <row r="39" spans="1:25" ht="8.25" customHeight="1">
      <c r="A39" s="126" t="s">
        <v>418</v>
      </c>
      <c r="B39" s="316"/>
      <c r="C39" s="316" t="s">
        <v>419</v>
      </c>
      <c r="D39" s="316"/>
      <c r="E39" s="316" t="s">
        <v>420</v>
      </c>
      <c r="F39" s="316"/>
      <c r="G39" s="316" t="s">
        <v>421</v>
      </c>
      <c r="H39" s="316"/>
      <c r="I39" s="897" t="s">
        <v>422</v>
      </c>
      <c r="J39" s="898"/>
      <c r="K39" s="83"/>
      <c r="L39" s="83"/>
      <c r="M39" s="83"/>
      <c r="O39" s="868" t="s">
        <v>95</v>
      </c>
      <c r="P39" s="869"/>
      <c r="Q39" s="870">
        <v>460</v>
      </c>
      <c r="R39" s="870">
        <v>345</v>
      </c>
      <c r="S39" s="870">
        <v>175</v>
      </c>
      <c r="T39" s="870">
        <v>12</v>
      </c>
      <c r="U39" s="870">
        <v>35</v>
      </c>
      <c r="V39" s="870">
        <v>2</v>
      </c>
      <c r="W39" s="870">
        <v>40</v>
      </c>
      <c r="X39" s="870">
        <v>3</v>
      </c>
      <c r="Y39" s="872">
        <v>29</v>
      </c>
    </row>
    <row r="40" spans="1:25" ht="8.25" customHeight="1">
      <c r="A40" s="418"/>
      <c r="B40" s="899"/>
      <c r="C40" s="899"/>
      <c r="D40" s="899"/>
      <c r="E40" s="899"/>
      <c r="F40" s="899"/>
      <c r="G40" s="899"/>
      <c r="H40" s="899"/>
      <c r="I40" s="900"/>
      <c r="J40" s="901"/>
      <c r="K40" s="83"/>
      <c r="L40" s="83"/>
      <c r="M40" s="83"/>
      <c r="O40" s="873"/>
      <c r="P40" s="874"/>
      <c r="Q40" s="871"/>
      <c r="R40" s="871"/>
      <c r="S40" s="871"/>
      <c r="T40" s="871"/>
      <c r="U40" s="871"/>
      <c r="V40" s="871"/>
      <c r="W40" s="871"/>
      <c r="X40" s="871"/>
      <c r="Y40" s="875"/>
    </row>
    <row r="41" spans="1:25" ht="8.25" customHeight="1">
      <c r="A41" s="140"/>
      <c r="B41" s="250"/>
      <c r="C41" s="250"/>
      <c r="D41" s="250"/>
      <c r="E41" s="250"/>
      <c r="F41" s="250"/>
      <c r="G41" s="250"/>
      <c r="H41" s="250"/>
      <c r="I41" s="902"/>
      <c r="J41" s="903"/>
      <c r="K41" s="83"/>
      <c r="L41" s="83"/>
      <c r="M41" s="83"/>
      <c r="O41" s="876"/>
      <c r="P41" s="877"/>
      <c r="Q41" s="878"/>
      <c r="R41" s="878"/>
      <c r="S41" s="878"/>
      <c r="T41" s="878"/>
      <c r="U41" s="878"/>
      <c r="V41" s="878"/>
      <c r="W41" s="878"/>
      <c r="X41" s="878"/>
      <c r="Y41" s="879"/>
    </row>
    <row r="42" spans="1:25" ht="9" customHeight="1">
      <c r="A42" s="904" t="s">
        <v>423</v>
      </c>
      <c r="B42" s="905" t="s">
        <v>424</v>
      </c>
      <c r="C42" s="906" t="s">
        <v>425</v>
      </c>
      <c r="D42" s="905" t="s">
        <v>424</v>
      </c>
      <c r="E42" s="906" t="s">
        <v>426</v>
      </c>
      <c r="F42" s="905" t="s">
        <v>424</v>
      </c>
      <c r="G42" s="906" t="s">
        <v>426</v>
      </c>
      <c r="H42" s="905" t="s">
        <v>427</v>
      </c>
      <c r="I42" s="907" t="s">
        <v>428</v>
      </c>
      <c r="J42" s="908"/>
      <c r="K42" s="842"/>
      <c r="L42" s="842"/>
      <c r="M42" s="842"/>
      <c r="O42" s="868" t="s">
        <v>96</v>
      </c>
      <c r="P42" s="869"/>
      <c r="Q42" s="870">
        <v>241</v>
      </c>
      <c r="R42" s="870">
        <v>225</v>
      </c>
      <c r="S42" s="870">
        <v>30</v>
      </c>
      <c r="T42" s="870">
        <v>28</v>
      </c>
      <c r="U42" s="870">
        <v>11</v>
      </c>
      <c r="V42" s="870">
        <v>6</v>
      </c>
      <c r="W42" s="870">
        <v>30</v>
      </c>
      <c r="X42" s="870">
        <v>1</v>
      </c>
      <c r="Y42" s="872">
        <v>16</v>
      </c>
    </row>
    <row r="43" spans="1:25" ht="9" customHeight="1">
      <c r="A43" s="909"/>
      <c r="B43" s="910"/>
      <c r="C43" s="911"/>
      <c r="D43" s="910"/>
      <c r="E43" s="911"/>
      <c r="F43" s="910"/>
      <c r="G43" s="911"/>
      <c r="H43" s="910"/>
      <c r="I43" s="912"/>
      <c r="J43" s="913"/>
      <c r="K43" s="842"/>
      <c r="L43" s="842"/>
      <c r="M43" s="842"/>
      <c r="O43" s="873"/>
      <c r="P43" s="874"/>
      <c r="Q43" s="871"/>
      <c r="R43" s="871"/>
      <c r="S43" s="871"/>
      <c r="T43" s="871"/>
      <c r="U43" s="871"/>
      <c r="V43" s="871"/>
      <c r="W43" s="871"/>
      <c r="X43" s="871"/>
      <c r="Y43" s="875"/>
    </row>
    <row r="44" spans="1:25" ht="9" customHeight="1">
      <c r="A44" s="914"/>
      <c r="B44" s="915"/>
      <c r="C44" s="916"/>
      <c r="D44" s="915"/>
      <c r="E44" s="916"/>
      <c r="F44" s="915"/>
      <c r="G44" s="916"/>
      <c r="H44" s="915"/>
      <c r="I44" s="917"/>
      <c r="J44" s="918"/>
      <c r="K44" s="842"/>
      <c r="L44" s="842"/>
      <c r="M44" s="842"/>
      <c r="O44" s="876"/>
      <c r="P44" s="877"/>
      <c r="Q44" s="878"/>
      <c r="R44" s="878"/>
      <c r="S44" s="878"/>
      <c r="T44" s="878"/>
      <c r="U44" s="878"/>
      <c r="V44" s="878"/>
      <c r="W44" s="878"/>
      <c r="X44" s="878"/>
      <c r="Y44" s="879"/>
    </row>
    <row r="45" spans="1:25" ht="8.25" customHeight="1">
      <c r="A45" s="919">
        <v>29</v>
      </c>
      <c r="B45" s="920">
        <v>1447</v>
      </c>
      <c r="C45" s="920">
        <v>26</v>
      </c>
      <c r="D45" s="920">
        <v>951</v>
      </c>
      <c r="E45" s="920">
        <v>7</v>
      </c>
      <c r="F45" s="920">
        <v>1530</v>
      </c>
      <c r="G45" s="920">
        <v>3</v>
      </c>
      <c r="H45" s="920">
        <v>35</v>
      </c>
      <c r="I45" s="840">
        <f>8+2</f>
        <v>10</v>
      </c>
      <c r="J45" s="841"/>
      <c r="K45" s="862"/>
      <c r="L45" s="862"/>
      <c r="M45" s="862"/>
      <c r="O45" s="868" t="s">
        <v>97</v>
      </c>
      <c r="P45" s="869"/>
      <c r="Q45" s="870">
        <v>305</v>
      </c>
      <c r="R45" s="870">
        <v>287</v>
      </c>
      <c r="S45" s="870">
        <v>39</v>
      </c>
      <c r="T45" s="870">
        <v>16</v>
      </c>
      <c r="U45" s="870">
        <v>8</v>
      </c>
      <c r="V45" s="870">
        <v>6</v>
      </c>
      <c r="W45" s="870">
        <v>40</v>
      </c>
      <c r="X45" s="870">
        <v>2</v>
      </c>
      <c r="Y45" s="872">
        <v>8</v>
      </c>
    </row>
    <row r="46" spans="1:25" ht="8.25" customHeight="1">
      <c r="A46" s="921"/>
      <c r="B46" s="922"/>
      <c r="C46" s="922"/>
      <c r="D46" s="922"/>
      <c r="E46" s="922"/>
      <c r="F46" s="922"/>
      <c r="G46" s="922"/>
      <c r="H46" s="922"/>
      <c r="I46" s="849"/>
      <c r="J46" s="850"/>
      <c r="K46" s="862"/>
      <c r="L46" s="862"/>
      <c r="M46" s="862"/>
      <c r="O46" s="873"/>
      <c r="P46" s="874"/>
      <c r="Q46" s="871"/>
      <c r="R46" s="871"/>
      <c r="S46" s="871"/>
      <c r="T46" s="871"/>
      <c r="U46" s="871"/>
      <c r="V46" s="871"/>
      <c r="W46" s="871"/>
      <c r="X46" s="871"/>
      <c r="Y46" s="875"/>
    </row>
    <row r="47" spans="1:25" ht="8.25" customHeight="1" thickBot="1">
      <c r="A47" s="923"/>
      <c r="B47" s="924"/>
      <c r="C47" s="924"/>
      <c r="D47" s="924"/>
      <c r="E47" s="924"/>
      <c r="F47" s="924"/>
      <c r="G47" s="924"/>
      <c r="H47" s="924"/>
      <c r="I47" s="858"/>
      <c r="J47" s="859"/>
      <c r="K47" s="862"/>
      <c r="L47" s="862"/>
      <c r="M47" s="862"/>
      <c r="O47" s="925"/>
      <c r="P47" s="926"/>
      <c r="Q47" s="927"/>
      <c r="R47" s="927"/>
      <c r="S47" s="927"/>
      <c r="T47" s="927"/>
      <c r="U47" s="927"/>
      <c r="V47" s="927"/>
      <c r="W47" s="927"/>
      <c r="X47" s="927"/>
      <c r="Y47" s="928"/>
    </row>
    <row r="48" spans="9:25" ht="11.25" customHeight="1">
      <c r="I48" s="862"/>
      <c r="J48" s="862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</row>
    <row r="49" spans="15:25" ht="11.25" customHeight="1"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</row>
    <row r="50" spans="15:25" ht="11.25" customHeight="1"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</row>
    <row r="51" spans="1:28" ht="15.75" customHeight="1">
      <c r="A51" t="s">
        <v>429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9:25" ht="11.25" customHeight="1" thickBot="1">
      <c r="I52" s="27"/>
      <c r="J52" s="27"/>
      <c r="K52" s="27"/>
      <c r="L52" s="27"/>
      <c r="M52" s="27"/>
      <c r="N52" s="27"/>
      <c r="O52" s="27"/>
      <c r="P52" s="27"/>
      <c r="Q52" s="27"/>
      <c r="U52" s="929"/>
      <c r="V52" s="929"/>
      <c r="W52" s="826" t="s">
        <v>49</v>
      </c>
      <c r="X52" s="27"/>
      <c r="Y52" s="27"/>
    </row>
    <row r="53" spans="1:27" ht="10.5" customHeight="1">
      <c r="A53" s="315" t="s">
        <v>430</v>
      </c>
      <c r="B53" s="165"/>
      <c r="C53" s="930" t="s">
        <v>431</v>
      </c>
      <c r="D53" s="931"/>
      <c r="E53" s="165" t="s">
        <v>432</v>
      </c>
      <c r="F53" s="316" t="s">
        <v>433</v>
      </c>
      <c r="G53" s="897" t="s">
        <v>434</v>
      </c>
      <c r="H53" s="932" t="s">
        <v>435</v>
      </c>
      <c r="I53" s="316" t="s">
        <v>436</v>
      </c>
      <c r="J53" s="316" t="s">
        <v>437</v>
      </c>
      <c r="K53" s="102" t="s">
        <v>438</v>
      </c>
      <c r="L53" s="103"/>
      <c r="M53" s="103"/>
      <c r="N53" s="103"/>
      <c r="O53" s="165"/>
      <c r="P53" s="932" t="s">
        <v>439</v>
      </c>
      <c r="Q53" s="240" t="s">
        <v>440</v>
      </c>
      <c r="R53" s="316" t="s">
        <v>441</v>
      </c>
      <c r="S53" s="165" t="s">
        <v>442</v>
      </c>
      <c r="T53" s="316" t="s">
        <v>443</v>
      </c>
      <c r="U53" s="316" t="s">
        <v>444</v>
      </c>
      <c r="V53" s="316" t="s">
        <v>445</v>
      </c>
      <c r="W53" s="933" t="s">
        <v>446</v>
      </c>
      <c r="X53" s="934"/>
      <c r="Y53" s="27"/>
      <c r="Z53" s="27"/>
      <c r="AA53" s="27"/>
    </row>
    <row r="54" spans="1:27" ht="18.75" customHeight="1">
      <c r="A54" s="935"/>
      <c r="B54" s="172"/>
      <c r="C54" s="424"/>
      <c r="D54" s="936"/>
      <c r="E54" s="172"/>
      <c r="F54" s="899"/>
      <c r="G54" s="937"/>
      <c r="H54" s="423"/>
      <c r="I54" s="899"/>
      <c r="J54" s="899"/>
      <c r="K54" s="170"/>
      <c r="L54" s="171"/>
      <c r="M54" s="171"/>
      <c r="N54" s="171"/>
      <c r="O54" s="172"/>
      <c r="P54" s="423"/>
      <c r="Q54" s="248"/>
      <c r="R54" s="899"/>
      <c r="S54" s="172"/>
      <c r="T54" s="899"/>
      <c r="U54" s="899"/>
      <c r="V54" s="899"/>
      <c r="W54" s="425"/>
      <c r="X54" s="938"/>
      <c r="Y54" s="27"/>
      <c r="Z54" s="27"/>
      <c r="AA54" s="27"/>
    </row>
    <row r="55" spans="1:27" ht="18.75" customHeight="1">
      <c r="A55" s="318"/>
      <c r="B55" s="177"/>
      <c r="C55" s="211"/>
      <c r="D55" s="939"/>
      <c r="E55" s="172"/>
      <c r="F55" s="899"/>
      <c r="G55" s="940"/>
      <c r="H55" s="423"/>
      <c r="I55" s="899"/>
      <c r="J55" s="250"/>
      <c r="K55" s="104"/>
      <c r="L55" s="105"/>
      <c r="M55" s="105"/>
      <c r="N55" s="105"/>
      <c r="O55" s="177"/>
      <c r="P55" s="249"/>
      <c r="Q55" s="213"/>
      <c r="R55" s="250"/>
      <c r="S55" s="177"/>
      <c r="T55" s="899"/>
      <c r="U55" s="899"/>
      <c r="V55" s="899"/>
      <c r="W55" s="430"/>
      <c r="X55" s="938"/>
      <c r="Y55" s="27"/>
      <c r="Z55" s="27"/>
      <c r="AA55" s="27"/>
    </row>
    <row r="56" spans="1:27" ht="19.5" customHeight="1">
      <c r="A56" s="264" t="s">
        <v>447</v>
      </c>
      <c r="B56" s="260"/>
      <c r="C56" s="941">
        <f>SUM(E56:T56)</f>
        <v>2460</v>
      </c>
      <c r="D56" s="942"/>
      <c r="E56" s="943">
        <f>SUM(E57:E68)</f>
        <v>2266</v>
      </c>
      <c r="F56" s="944">
        <f aca="true" t="shared" si="1" ref="F56:U56">SUM(F57:F68)</f>
        <v>0</v>
      </c>
      <c r="G56" s="944">
        <f t="shared" si="1"/>
        <v>0</v>
      </c>
      <c r="H56" s="944">
        <f t="shared" si="1"/>
        <v>13</v>
      </c>
      <c r="I56" s="944">
        <f t="shared" si="1"/>
        <v>64</v>
      </c>
      <c r="J56" s="944">
        <f t="shared" si="1"/>
        <v>43</v>
      </c>
      <c r="K56" s="945">
        <f t="shared" si="1"/>
        <v>14</v>
      </c>
      <c r="L56" s="946"/>
      <c r="M56" s="946"/>
      <c r="N56" s="946"/>
      <c r="O56" s="947"/>
      <c r="P56" s="948">
        <f>SUM(P57:P68)</f>
        <v>18</v>
      </c>
      <c r="Q56" s="948">
        <f>SUM(Q57:Q68)</f>
        <v>0</v>
      </c>
      <c r="R56" s="944">
        <f>SUM(R57:R68)</f>
        <v>27</v>
      </c>
      <c r="S56" s="944">
        <f t="shared" si="1"/>
        <v>10</v>
      </c>
      <c r="T56" s="944">
        <f t="shared" si="1"/>
        <v>5</v>
      </c>
      <c r="U56" s="944">
        <f t="shared" si="1"/>
        <v>0</v>
      </c>
      <c r="V56" s="944">
        <f>SUM(V57:V68)</f>
        <v>0</v>
      </c>
      <c r="W56" s="949">
        <f>SUM(W57:W68)</f>
        <v>0</v>
      </c>
      <c r="X56" s="950"/>
      <c r="Y56" s="27"/>
      <c r="Z56" s="27"/>
      <c r="AA56" s="27"/>
    </row>
    <row r="57" spans="1:27" ht="19.5" customHeight="1">
      <c r="A57" s="264" t="s">
        <v>448</v>
      </c>
      <c r="B57" s="260"/>
      <c r="C57" s="945">
        <f>SUM(E57:W57)</f>
        <v>148</v>
      </c>
      <c r="D57" s="951"/>
      <c r="E57" s="952">
        <v>132</v>
      </c>
      <c r="F57" s="953" t="s">
        <v>449</v>
      </c>
      <c r="G57" s="953" t="s">
        <v>449</v>
      </c>
      <c r="H57" s="953" t="s">
        <v>449</v>
      </c>
      <c r="I57" s="953">
        <v>11</v>
      </c>
      <c r="J57" s="953">
        <v>2</v>
      </c>
      <c r="K57" s="954">
        <v>0</v>
      </c>
      <c r="L57" s="954"/>
      <c r="M57" s="954"/>
      <c r="N57" s="954"/>
      <c r="O57" s="954"/>
      <c r="P57" s="953">
        <v>2</v>
      </c>
      <c r="Q57" s="953" t="s">
        <v>449</v>
      </c>
      <c r="R57" s="953" t="s">
        <v>449</v>
      </c>
      <c r="S57" s="953">
        <v>1</v>
      </c>
      <c r="T57" s="953" t="s">
        <v>449</v>
      </c>
      <c r="U57" s="953" t="s">
        <v>449</v>
      </c>
      <c r="V57" s="953" t="s">
        <v>449</v>
      </c>
      <c r="W57" s="949">
        <v>0</v>
      </c>
      <c r="X57" s="950"/>
      <c r="Y57" s="27"/>
      <c r="Z57" s="27"/>
      <c r="AA57" s="27"/>
    </row>
    <row r="58" spans="1:27" ht="19.5" customHeight="1">
      <c r="A58" s="264" t="s">
        <v>450</v>
      </c>
      <c r="B58" s="260"/>
      <c r="C58" s="945">
        <f>SUM(E58:W58)</f>
        <v>156</v>
      </c>
      <c r="D58" s="951"/>
      <c r="E58" s="952">
        <v>141</v>
      </c>
      <c r="F58" s="953" t="s">
        <v>449</v>
      </c>
      <c r="G58" s="953" t="s">
        <v>449</v>
      </c>
      <c r="H58" s="953" t="s">
        <v>449</v>
      </c>
      <c r="I58" s="953">
        <v>6</v>
      </c>
      <c r="J58" s="953" t="s">
        <v>449</v>
      </c>
      <c r="K58" s="954">
        <v>8</v>
      </c>
      <c r="L58" s="954"/>
      <c r="M58" s="954"/>
      <c r="N58" s="954"/>
      <c r="O58" s="954"/>
      <c r="P58" s="953" t="s">
        <v>449</v>
      </c>
      <c r="Q58" s="953" t="s">
        <v>449</v>
      </c>
      <c r="R58" s="953">
        <v>1</v>
      </c>
      <c r="S58" s="953" t="s">
        <v>449</v>
      </c>
      <c r="T58" s="953" t="s">
        <v>449</v>
      </c>
      <c r="U58" s="953" t="s">
        <v>449</v>
      </c>
      <c r="V58" s="953" t="s">
        <v>449</v>
      </c>
      <c r="W58" s="949">
        <v>0</v>
      </c>
      <c r="X58" s="950"/>
      <c r="Y58" s="27"/>
      <c r="Z58" s="27"/>
      <c r="AA58" s="27"/>
    </row>
    <row r="59" spans="1:27" ht="19.5" customHeight="1">
      <c r="A59" s="264" t="s">
        <v>451</v>
      </c>
      <c r="B59" s="260"/>
      <c r="C59" s="945">
        <f aca="true" t="shared" si="2" ref="C59:C68">SUM(E59:W59)</f>
        <v>141</v>
      </c>
      <c r="D59" s="951"/>
      <c r="E59" s="952">
        <v>137</v>
      </c>
      <c r="F59" s="953" t="s">
        <v>449</v>
      </c>
      <c r="G59" s="953" t="s">
        <v>449</v>
      </c>
      <c r="H59" s="953" t="s">
        <v>449</v>
      </c>
      <c r="I59" s="953" t="s">
        <v>449</v>
      </c>
      <c r="J59" s="953" t="s">
        <v>449</v>
      </c>
      <c r="K59" s="954">
        <v>0</v>
      </c>
      <c r="L59" s="954"/>
      <c r="M59" s="954"/>
      <c r="N59" s="954"/>
      <c r="O59" s="954"/>
      <c r="P59" s="953" t="s">
        <v>449</v>
      </c>
      <c r="Q59" s="953" t="s">
        <v>449</v>
      </c>
      <c r="R59" s="953">
        <v>3</v>
      </c>
      <c r="S59" s="953" t="s">
        <v>449</v>
      </c>
      <c r="T59" s="953">
        <v>1</v>
      </c>
      <c r="U59" s="953" t="s">
        <v>449</v>
      </c>
      <c r="V59" s="953" t="s">
        <v>449</v>
      </c>
      <c r="W59" s="949">
        <v>0</v>
      </c>
      <c r="X59" s="950"/>
      <c r="Y59" s="27"/>
      <c r="Z59" s="27"/>
      <c r="AA59" s="27"/>
    </row>
    <row r="60" spans="1:27" ht="19.5" customHeight="1">
      <c r="A60" s="264" t="s">
        <v>452</v>
      </c>
      <c r="B60" s="260"/>
      <c r="C60" s="945">
        <f t="shared" si="2"/>
        <v>42</v>
      </c>
      <c r="D60" s="951"/>
      <c r="E60" s="952">
        <v>35</v>
      </c>
      <c r="F60" s="953" t="s">
        <v>449</v>
      </c>
      <c r="G60" s="953" t="s">
        <v>449</v>
      </c>
      <c r="H60" s="953" t="s">
        <v>449</v>
      </c>
      <c r="I60" s="953">
        <v>3</v>
      </c>
      <c r="J60" s="953" t="s">
        <v>449</v>
      </c>
      <c r="K60" s="954">
        <v>1</v>
      </c>
      <c r="L60" s="954"/>
      <c r="M60" s="954"/>
      <c r="N60" s="954"/>
      <c r="O60" s="954"/>
      <c r="P60" s="953">
        <v>1</v>
      </c>
      <c r="Q60" s="953" t="s">
        <v>449</v>
      </c>
      <c r="R60" s="953" t="s">
        <v>449</v>
      </c>
      <c r="S60" s="953">
        <v>1</v>
      </c>
      <c r="T60" s="953">
        <v>1</v>
      </c>
      <c r="U60" s="953" t="s">
        <v>449</v>
      </c>
      <c r="V60" s="953" t="s">
        <v>449</v>
      </c>
      <c r="W60" s="949">
        <v>0</v>
      </c>
      <c r="X60" s="950"/>
      <c r="Y60" s="27"/>
      <c r="Z60" s="27"/>
      <c r="AA60" s="27"/>
    </row>
    <row r="61" spans="1:27" ht="19.5" customHeight="1">
      <c r="A61" s="264" t="s">
        <v>453</v>
      </c>
      <c r="B61" s="260"/>
      <c r="C61" s="945">
        <f t="shared" si="2"/>
        <v>32</v>
      </c>
      <c r="D61" s="951"/>
      <c r="E61" s="952">
        <v>32</v>
      </c>
      <c r="F61" s="953" t="s">
        <v>449</v>
      </c>
      <c r="G61" s="953" t="s">
        <v>449</v>
      </c>
      <c r="H61" s="953" t="s">
        <v>449</v>
      </c>
      <c r="I61" s="953" t="s">
        <v>449</v>
      </c>
      <c r="J61" s="953" t="s">
        <v>449</v>
      </c>
      <c r="K61" s="954">
        <v>0</v>
      </c>
      <c r="L61" s="954"/>
      <c r="M61" s="954"/>
      <c r="N61" s="954"/>
      <c r="O61" s="954"/>
      <c r="P61" s="953" t="s">
        <v>449</v>
      </c>
      <c r="Q61" s="953" t="s">
        <v>449</v>
      </c>
      <c r="R61" s="953" t="s">
        <v>449</v>
      </c>
      <c r="S61" s="953" t="s">
        <v>449</v>
      </c>
      <c r="T61" s="953" t="s">
        <v>449</v>
      </c>
      <c r="U61" s="953" t="s">
        <v>449</v>
      </c>
      <c r="V61" s="953" t="s">
        <v>449</v>
      </c>
      <c r="W61" s="949">
        <v>0</v>
      </c>
      <c r="X61" s="955"/>
      <c r="Y61" s="27"/>
      <c r="Z61" s="27"/>
      <c r="AA61" s="27"/>
    </row>
    <row r="62" spans="1:27" ht="19.5" customHeight="1">
      <c r="A62" s="264" t="s">
        <v>454</v>
      </c>
      <c r="B62" s="260"/>
      <c r="C62" s="945">
        <f t="shared" si="2"/>
        <v>452</v>
      </c>
      <c r="D62" s="951"/>
      <c r="E62" s="952">
        <v>426</v>
      </c>
      <c r="F62" s="953" t="s">
        <v>449</v>
      </c>
      <c r="G62" s="953" t="s">
        <v>449</v>
      </c>
      <c r="H62" s="953" t="s">
        <v>449</v>
      </c>
      <c r="I62" s="953">
        <v>10</v>
      </c>
      <c r="J62" s="953">
        <v>2</v>
      </c>
      <c r="K62" s="954">
        <v>2</v>
      </c>
      <c r="L62" s="954"/>
      <c r="M62" s="954"/>
      <c r="N62" s="954"/>
      <c r="O62" s="954"/>
      <c r="P62" s="953" t="s">
        <v>449</v>
      </c>
      <c r="Q62" s="953" t="s">
        <v>449</v>
      </c>
      <c r="R62" s="953">
        <v>12</v>
      </c>
      <c r="S62" s="953" t="s">
        <v>449</v>
      </c>
      <c r="T62" s="953" t="s">
        <v>449</v>
      </c>
      <c r="U62" s="953" t="s">
        <v>449</v>
      </c>
      <c r="V62" s="953" t="s">
        <v>449</v>
      </c>
      <c r="W62" s="949">
        <v>0</v>
      </c>
      <c r="X62" s="950"/>
      <c r="Y62" s="27"/>
      <c r="Z62" s="27"/>
      <c r="AA62" s="27"/>
    </row>
    <row r="63" spans="1:27" ht="19.5" customHeight="1">
      <c r="A63" s="264" t="s">
        <v>455</v>
      </c>
      <c r="B63" s="260"/>
      <c r="C63" s="945">
        <f t="shared" si="2"/>
        <v>254</v>
      </c>
      <c r="D63" s="951"/>
      <c r="E63" s="952">
        <v>241</v>
      </c>
      <c r="F63" s="953" t="s">
        <v>449</v>
      </c>
      <c r="G63" s="953" t="s">
        <v>449</v>
      </c>
      <c r="H63" s="953" t="s">
        <v>449</v>
      </c>
      <c r="I63" s="953">
        <v>5</v>
      </c>
      <c r="J63" s="953" t="s">
        <v>449</v>
      </c>
      <c r="K63" s="954">
        <v>3</v>
      </c>
      <c r="L63" s="954"/>
      <c r="M63" s="954"/>
      <c r="N63" s="954"/>
      <c r="O63" s="954"/>
      <c r="P63" s="953" t="s">
        <v>449</v>
      </c>
      <c r="Q63" s="953" t="s">
        <v>449</v>
      </c>
      <c r="R63" s="953">
        <v>4</v>
      </c>
      <c r="S63" s="953" t="s">
        <v>449</v>
      </c>
      <c r="T63" s="953">
        <v>1</v>
      </c>
      <c r="U63" s="953" t="s">
        <v>449</v>
      </c>
      <c r="V63" s="953" t="s">
        <v>449</v>
      </c>
      <c r="W63" s="949">
        <v>0</v>
      </c>
      <c r="X63" s="950"/>
      <c r="Y63" s="27"/>
      <c r="Z63" s="27"/>
      <c r="AA63" s="27"/>
    </row>
    <row r="64" spans="1:27" ht="19.5" customHeight="1">
      <c r="A64" s="264" t="s">
        <v>456</v>
      </c>
      <c r="B64" s="260"/>
      <c r="C64" s="945">
        <f t="shared" si="2"/>
        <v>36</v>
      </c>
      <c r="D64" s="951"/>
      <c r="E64" s="952">
        <v>34</v>
      </c>
      <c r="F64" s="953" t="s">
        <v>449</v>
      </c>
      <c r="G64" s="953" t="s">
        <v>449</v>
      </c>
      <c r="H64" s="953" t="s">
        <v>449</v>
      </c>
      <c r="I64" s="953" t="s">
        <v>449</v>
      </c>
      <c r="J64" s="953" t="s">
        <v>449</v>
      </c>
      <c r="K64" s="954">
        <v>0</v>
      </c>
      <c r="L64" s="954"/>
      <c r="M64" s="954"/>
      <c r="N64" s="954"/>
      <c r="O64" s="954"/>
      <c r="P64" s="953" t="s">
        <v>449</v>
      </c>
      <c r="Q64" s="953" t="s">
        <v>449</v>
      </c>
      <c r="R64" s="953" t="s">
        <v>449</v>
      </c>
      <c r="S64" s="953">
        <v>2</v>
      </c>
      <c r="T64" s="953" t="s">
        <v>449</v>
      </c>
      <c r="U64" s="953" t="s">
        <v>449</v>
      </c>
      <c r="V64" s="953" t="s">
        <v>449</v>
      </c>
      <c r="W64" s="949">
        <v>0</v>
      </c>
      <c r="X64" s="950"/>
      <c r="Y64" s="27"/>
      <c r="Z64" s="27"/>
      <c r="AA64" s="27"/>
    </row>
    <row r="65" spans="1:26" ht="19.5" customHeight="1">
      <c r="A65" s="264" t="s">
        <v>457</v>
      </c>
      <c r="B65" s="260"/>
      <c r="C65" s="945">
        <f t="shared" si="2"/>
        <v>193</v>
      </c>
      <c r="D65" s="951"/>
      <c r="E65" s="952">
        <v>186</v>
      </c>
      <c r="F65" s="953" t="s">
        <v>449</v>
      </c>
      <c r="G65" s="953" t="s">
        <v>449</v>
      </c>
      <c r="H65" s="953" t="s">
        <v>449</v>
      </c>
      <c r="I65" s="953">
        <v>1</v>
      </c>
      <c r="J65" s="953">
        <v>5</v>
      </c>
      <c r="K65" s="954">
        <v>0</v>
      </c>
      <c r="L65" s="954"/>
      <c r="M65" s="954"/>
      <c r="N65" s="954"/>
      <c r="O65" s="954"/>
      <c r="P65" s="953">
        <v>1</v>
      </c>
      <c r="Q65" s="953" t="s">
        <v>449</v>
      </c>
      <c r="R65" s="953" t="s">
        <v>449</v>
      </c>
      <c r="S65" s="953" t="s">
        <v>449</v>
      </c>
      <c r="T65" s="953" t="s">
        <v>449</v>
      </c>
      <c r="U65" s="953" t="s">
        <v>449</v>
      </c>
      <c r="V65" s="953" t="s">
        <v>449</v>
      </c>
      <c r="W65" s="949">
        <v>0</v>
      </c>
      <c r="X65" s="950"/>
      <c r="Y65" s="27"/>
      <c r="Z65" s="27"/>
    </row>
    <row r="66" spans="1:26" ht="19.5" customHeight="1">
      <c r="A66" s="264" t="s">
        <v>458</v>
      </c>
      <c r="B66" s="260"/>
      <c r="C66" s="945">
        <f t="shared" si="2"/>
        <v>460</v>
      </c>
      <c r="D66" s="951"/>
      <c r="E66" s="956">
        <v>444</v>
      </c>
      <c r="F66" s="957">
        <v>0</v>
      </c>
      <c r="G66" s="957">
        <v>0</v>
      </c>
      <c r="H66" s="957">
        <v>0</v>
      </c>
      <c r="I66" s="958">
        <v>1</v>
      </c>
      <c r="J66" s="958">
        <v>1</v>
      </c>
      <c r="K66" s="954">
        <v>0</v>
      </c>
      <c r="L66" s="954"/>
      <c r="M66" s="954"/>
      <c r="N66" s="954"/>
      <c r="O66" s="954"/>
      <c r="P66" s="958">
        <v>4</v>
      </c>
      <c r="Q66" s="959">
        <v>0</v>
      </c>
      <c r="R66" s="958">
        <v>5</v>
      </c>
      <c r="S66" s="958">
        <v>5</v>
      </c>
      <c r="T66" s="957">
        <v>0</v>
      </c>
      <c r="U66" s="957">
        <v>0</v>
      </c>
      <c r="V66" s="957">
        <v>0</v>
      </c>
      <c r="W66" s="949">
        <v>0</v>
      </c>
      <c r="X66" s="950"/>
      <c r="Y66" s="27"/>
      <c r="Z66" s="27"/>
    </row>
    <row r="67" spans="1:26" ht="19.5" customHeight="1">
      <c r="A67" s="264" t="s">
        <v>459</v>
      </c>
      <c r="B67" s="260"/>
      <c r="C67" s="945">
        <f t="shared" si="2"/>
        <v>241</v>
      </c>
      <c r="D67" s="951"/>
      <c r="E67" s="960">
        <v>172</v>
      </c>
      <c r="F67" s="766">
        <v>0</v>
      </c>
      <c r="G67" s="766">
        <v>0</v>
      </c>
      <c r="H67" s="944">
        <v>13</v>
      </c>
      <c r="I67" s="944">
        <v>26</v>
      </c>
      <c r="J67" s="944">
        <v>20</v>
      </c>
      <c r="K67" s="945">
        <v>0</v>
      </c>
      <c r="L67" s="946"/>
      <c r="M67" s="946"/>
      <c r="N67" s="946"/>
      <c r="O67" s="947"/>
      <c r="P67" s="944">
        <v>7</v>
      </c>
      <c r="Q67" s="948">
        <v>0</v>
      </c>
      <c r="R67" s="944">
        <v>1</v>
      </c>
      <c r="S67" s="944">
        <v>0</v>
      </c>
      <c r="T67" s="944">
        <v>2</v>
      </c>
      <c r="U67" s="766">
        <v>0</v>
      </c>
      <c r="V67" s="766">
        <v>0</v>
      </c>
      <c r="W67" s="949">
        <v>0</v>
      </c>
      <c r="X67" s="950"/>
      <c r="Y67" s="27"/>
      <c r="Z67" s="27"/>
    </row>
    <row r="68" spans="1:25" ht="19.5" customHeight="1" thickBot="1">
      <c r="A68" s="276" t="s">
        <v>460</v>
      </c>
      <c r="B68" s="278"/>
      <c r="C68" s="961">
        <f t="shared" si="2"/>
        <v>305</v>
      </c>
      <c r="D68" s="962"/>
      <c r="E68" s="963">
        <v>286</v>
      </c>
      <c r="F68" s="964">
        <v>0</v>
      </c>
      <c r="G68" s="768">
        <v>0</v>
      </c>
      <c r="H68" s="768">
        <v>0</v>
      </c>
      <c r="I68" s="768">
        <v>1</v>
      </c>
      <c r="J68" s="964">
        <v>13</v>
      </c>
      <c r="K68" s="961">
        <v>0</v>
      </c>
      <c r="L68" s="965"/>
      <c r="M68" s="965"/>
      <c r="N68" s="965"/>
      <c r="O68" s="966"/>
      <c r="P68" s="569">
        <v>3</v>
      </c>
      <c r="Q68" s="967">
        <v>0</v>
      </c>
      <c r="R68" s="964">
        <v>1</v>
      </c>
      <c r="S68" s="768">
        <v>1</v>
      </c>
      <c r="T68" s="964">
        <v>0</v>
      </c>
      <c r="U68" s="768">
        <v>0</v>
      </c>
      <c r="V68" s="768">
        <v>0</v>
      </c>
      <c r="W68" s="968">
        <v>0</v>
      </c>
      <c r="X68" s="950"/>
      <c r="Y68" s="27"/>
    </row>
    <row r="69" spans="2:26" ht="6.75" customHeight="1">
      <c r="B69" s="969"/>
      <c r="H69" s="27"/>
      <c r="I69" s="27"/>
      <c r="J69" s="27"/>
      <c r="K69" s="27"/>
      <c r="L69" s="27"/>
      <c r="M69" s="27"/>
      <c r="N69" s="27"/>
      <c r="W69" s="27"/>
      <c r="X69" s="27"/>
      <c r="Y69" s="27"/>
      <c r="Z69" s="27"/>
    </row>
    <row r="70" spans="8:26" ht="13.5">
      <c r="H70" s="27"/>
      <c r="I70" s="27"/>
      <c r="J70" s="27"/>
      <c r="K70" s="27"/>
      <c r="L70" s="27"/>
      <c r="M70" s="27"/>
      <c r="N70" s="27"/>
      <c r="W70" s="27"/>
      <c r="X70" s="27"/>
      <c r="Y70" s="27"/>
      <c r="Z70" s="27"/>
    </row>
    <row r="71" spans="1:13" s="244" customFormat="1" ht="13.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</row>
    <row r="72" spans="1:13" s="244" customFormat="1" ht="22.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s="244" customFormat="1" ht="6.75" customHeight="1">
      <c r="A73" s="842"/>
      <c r="B73" s="842"/>
      <c r="C73" s="842"/>
      <c r="D73" s="842"/>
      <c r="E73" s="842"/>
      <c r="F73" s="842"/>
      <c r="G73" s="842"/>
      <c r="H73" s="842"/>
      <c r="I73" s="842"/>
      <c r="J73" s="842"/>
      <c r="K73" s="842"/>
      <c r="L73" s="842"/>
      <c r="M73" s="842"/>
    </row>
    <row r="74" spans="1:25" s="244" customFormat="1" ht="15.75" customHeight="1">
      <c r="A74" s="970"/>
      <c r="B74" s="970"/>
      <c r="C74" s="970"/>
      <c r="D74" s="970"/>
      <c r="E74" s="970"/>
      <c r="F74" s="970"/>
      <c r="G74" s="970"/>
      <c r="H74" s="970"/>
      <c r="I74" s="970"/>
      <c r="J74" s="970"/>
      <c r="K74" s="970"/>
      <c r="L74" s="970"/>
      <c r="M74" s="970"/>
      <c r="N74" s="83"/>
      <c r="O74" s="83"/>
      <c r="P74" s="83"/>
      <c r="Q74" s="85"/>
      <c r="R74" s="83"/>
      <c r="S74" s="83"/>
      <c r="T74" s="83"/>
      <c r="U74" s="83"/>
      <c r="V74" s="83"/>
      <c r="W74" s="83"/>
      <c r="X74" s="83"/>
      <c r="Y74" s="83"/>
    </row>
    <row r="75" spans="1:25" s="244" customFormat="1" ht="15.75" customHeight="1">
      <c r="A75" s="971"/>
      <c r="B75" s="971"/>
      <c r="C75" s="971"/>
      <c r="D75" s="971"/>
      <c r="E75" s="971"/>
      <c r="F75" s="971"/>
      <c r="G75" s="971"/>
      <c r="H75" s="971"/>
      <c r="I75" s="971"/>
      <c r="J75" s="971"/>
      <c r="K75" s="971"/>
      <c r="L75" s="971"/>
      <c r="M75" s="971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s="244" customFormat="1" ht="15.75" customHeight="1">
      <c r="A76" s="862"/>
      <c r="B76" s="862"/>
      <c r="C76" s="862"/>
      <c r="D76" s="862"/>
      <c r="E76" s="862"/>
      <c r="F76" s="862"/>
      <c r="G76" s="862"/>
      <c r="H76" s="862"/>
      <c r="I76" s="862"/>
      <c r="J76" s="862"/>
      <c r="K76" s="862"/>
      <c r="L76" s="862"/>
      <c r="M76" s="862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s="244" customFormat="1" ht="12" customHeight="1">
      <c r="A77" s="862"/>
      <c r="B77" s="862"/>
      <c r="C77" s="862"/>
      <c r="D77" s="862"/>
      <c r="E77" s="862"/>
      <c r="F77" s="862"/>
      <c r="G77" s="862"/>
      <c r="H77" s="862"/>
      <c r="I77" s="862"/>
      <c r="J77" s="862"/>
      <c r="K77" s="862"/>
      <c r="L77" s="862"/>
      <c r="M77" s="862"/>
      <c r="N77" s="972"/>
      <c r="O77" s="972"/>
      <c r="P77" s="972"/>
      <c r="Q77" s="972"/>
      <c r="R77" s="972"/>
      <c r="S77" s="972"/>
      <c r="T77" s="972"/>
      <c r="U77" s="972"/>
      <c r="V77" s="972"/>
      <c r="W77" s="972"/>
      <c r="X77" s="972"/>
      <c r="Y77" s="972"/>
    </row>
    <row r="78" spans="14:25" s="244" customFormat="1" ht="14.25" customHeight="1">
      <c r="N78" s="973"/>
      <c r="O78" s="973"/>
      <c r="P78" s="973"/>
      <c r="Q78" s="974"/>
      <c r="R78" s="974"/>
      <c r="S78" s="973"/>
      <c r="T78" s="973"/>
      <c r="U78" s="973"/>
      <c r="V78" s="973"/>
      <c r="W78" s="973"/>
      <c r="X78" s="973"/>
      <c r="Y78" s="973"/>
    </row>
    <row r="79" spans="1:25" s="244" customFormat="1" ht="14.25" customHeight="1">
      <c r="A79" s="83"/>
      <c r="B79" s="83"/>
      <c r="C79" s="973"/>
      <c r="D79" s="973"/>
      <c r="E79" s="973"/>
      <c r="F79" s="973"/>
      <c r="G79" s="973"/>
      <c r="H79" s="973"/>
      <c r="I79" s="973"/>
      <c r="J79" s="973"/>
      <c r="K79" s="973"/>
      <c r="L79" s="973"/>
      <c r="M79" s="973"/>
      <c r="N79" s="973"/>
      <c r="O79" s="973"/>
      <c r="P79" s="973"/>
      <c r="Q79" s="974"/>
      <c r="R79" s="974"/>
      <c r="S79" s="973"/>
      <c r="T79" s="973"/>
      <c r="U79" s="973"/>
      <c r="V79" s="973"/>
      <c r="W79" s="973"/>
      <c r="X79" s="973"/>
      <c r="Y79" s="973"/>
    </row>
    <row r="80" spans="1:25" s="244" customFormat="1" ht="14.25" customHeight="1">
      <c r="A80" s="83"/>
      <c r="B80" s="83"/>
      <c r="C80" s="974"/>
      <c r="D80" s="974"/>
      <c r="E80" s="974"/>
      <c r="F80" s="974"/>
      <c r="G80" s="974"/>
      <c r="H80" s="974"/>
      <c r="I80" s="974"/>
      <c r="J80" s="974"/>
      <c r="K80" s="974"/>
      <c r="L80" s="974"/>
      <c r="M80" s="974"/>
      <c r="N80" s="974"/>
      <c r="O80" s="974"/>
      <c r="P80" s="974"/>
      <c r="Q80" s="975"/>
      <c r="R80" s="975"/>
      <c r="S80" s="974"/>
      <c r="T80" s="974"/>
      <c r="U80" s="974"/>
      <c r="V80" s="974"/>
      <c r="W80" s="974"/>
      <c r="X80" s="974"/>
      <c r="Y80" s="974"/>
    </row>
    <row r="81" spans="1:25" s="244" customFormat="1" ht="14.25" customHeight="1">
      <c r="A81" s="83"/>
      <c r="B81" s="83"/>
      <c r="C81" s="974"/>
      <c r="D81" s="974"/>
      <c r="E81" s="974"/>
      <c r="F81" s="974"/>
      <c r="G81" s="974"/>
      <c r="H81" s="974"/>
      <c r="I81" s="974"/>
      <c r="J81" s="974"/>
      <c r="K81" s="974"/>
      <c r="L81" s="974"/>
      <c r="M81" s="974"/>
      <c r="N81" s="974"/>
      <c r="O81" s="974"/>
      <c r="P81" s="974"/>
      <c r="Q81" s="975"/>
      <c r="R81" s="975"/>
      <c r="S81" s="974"/>
      <c r="T81" s="974"/>
      <c r="U81" s="974"/>
      <c r="V81" s="974"/>
      <c r="W81" s="974"/>
      <c r="X81" s="974"/>
      <c r="Y81" s="974"/>
    </row>
    <row r="82" spans="1:25" s="244" customFormat="1" ht="14.25" customHeight="1">
      <c r="A82" s="862"/>
      <c r="B82" s="862"/>
      <c r="C82" s="862"/>
      <c r="D82" s="862"/>
      <c r="E82" s="862"/>
      <c r="F82" s="862"/>
      <c r="G82" s="862"/>
      <c r="H82" s="862"/>
      <c r="I82" s="862"/>
      <c r="J82" s="862"/>
      <c r="K82" s="862"/>
      <c r="L82" s="862"/>
      <c r="M82" s="862"/>
      <c r="N82" s="974"/>
      <c r="O82" s="974"/>
      <c r="P82" s="974"/>
      <c r="Q82" s="974"/>
      <c r="R82" s="974"/>
      <c r="S82" s="974"/>
      <c r="T82" s="974"/>
      <c r="U82" s="974"/>
      <c r="V82" s="974"/>
      <c r="W82" s="975"/>
      <c r="X82" s="975"/>
      <c r="Y82" s="975"/>
    </row>
    <row r="83" spans="1:25" s="244" customFormat="1" ht="14.25" customHeight="1">
      <c r="A83" s="862"/>
      <c r="B83" s="862"/>
      <c r="C83" s="862"/>
      <c r="D83" s="862"/>
      <c r="E83" s="862"/>
      <c r="F83" s="862"/>
      <c r="G83" s="862"/>
      <c r="H83" s="862"/>
      <c r="I83" s="862"/>
      <c r="J83" s="862"/>
      <c r="K83" s="862"/>
      <c r="L83" s="862"/>
      <c r="M83" s="862"/>
      <c r="N83" s="974"/>
      <c r="O83" s="974"/>
      <c r="P83" s="974"/>
      <c r="Q83" s="974"/>
      <c r="R83" s="974"/>
      <c r="S83" s="974"/>
      <c r="T83" s="974"/>
      <c r="U83" s="974"/>
      <c r="V83" s="974"/>
      <c r="W83" s="975"/>
      <c r="X83" s="975"/>
      <c r="Y83" s="975"/>
    </row>
    <row r="84" spans="1:25" s="244" customFormat="1" ht="14.25" customHeight="1">
      <c r="A84" s="83"/>
      <c r="B84" s="83"/>
      <c r="C84" s="974"/>
      <c r="D84" s="974"/>
      <c r="E84" s="974"/>
      <c r="F84" s="974"/>
      <c r="G84" s="974"/>
      <c r="H84" s="974"/>
      <c r="I84" s="974"/>
      <c r="J84" s="974"/>
      <c r="K84" s="974"/>
      <c r="L84" s="974"/>
      <c r="M84" s="974"/>
      <c r="N84" s="974"/>
      <c r="O84" s="974"/>
      <c r="P84" s="974"/>
      <c r="Q84" s="975"/>
      <c r="R84" s="975"/>
      <c r="S84" s="974"/>
      <c r="T84" s="974"/>
      <c r="U84" s="974"/>
      <c r="V84" s="862"/>
      <c r="W84" s="862"/>
      <c r="X84" s="862"/>
      <c r="Y84" s="862"/>
    </row>
    <row r="85" spans="1:25" s="244" customFormat="1" ht="14.25" customHeight="1">
      <c r="A85" s="83"/>
      <c r="B85" s="83"/>
      <c r="C85" s="974"/>
      <c r="D85" s="974"/>
      <c r="E85" s="974"/>
      <c r="F85" s="974"/>
      <c r="G85" s="974"/>
      <c r="H85" s="974"/>
      <c r="I85" s="974"/>
      <c r="J85" s="974"/>
      <c r="K85" s="974"/>
      <c r="L85" s="974"/>
      <c r="M85" s="974"/>
      <c r="N85" s="974"/>
      <c r="O85" s="974"/>
      <c r="P85" s="974"/>
      <c r="Q85" s="975"/>
      <c r="R85" s="975"/>
      <c r="S85" s="974"/>
      <c r="T85" s="974"/>
      <c r="U85" s="974"/>
      <c r="V85" s="862"/>
      <c r="W85" s="862"/>
      <c r="X85" s="862"/>
      <c r="Y85" s="862"/>
    </row>
    <row r="86" spans="1:25" s="244" customFormat="1" ht="14.25" customHeight="1">
      <c r="A86" s="83"/>
      <c r="C86" s="83"/>
      <c r="E86" s="83"/>
      <c r="G86" s="83"/>
      <c r="I86" s="974"/>
      <c r="J86" s="974"/>
      <c r="K86" s="974"/>
      <c r="L86" s="974"/>
      <c r="M86" s="974"/>
      <c r="N86" s="974"/>
      <c r="O86" s="974"/>
      <c r="P86" s="974"/>
      <c r="Q86" s="975"/>
      <c r="R86" s="975"/>
      <c r="S86" s="974"/>
      <c r="T86" s="974"/>
      <c r="U86" s="974"/>
      <c r="V86" s="862"/>
      <c r="W86" s="976"/>
      <c r="X86" s="976"/>
      <c r="Y86" s="976"/>
    </row>
    <row r="87" spans="9:25" s="244" customFormat="1" ht="14.25" customHeight="1">
      <c r="I87" s="974"/>
      <c r="J87" s="974"/>
      <c r="K87" s="974"/>
      <c r="L87" s="974"/>
      <c r="M87" s="974"/>
      <c r="N87" s="974"/>
      <c r="O87" s="974"/>
      <c r="P87" s="974"/>
      <c r="Q87" s="975"/>
      <c r="R87" s="975"/>
      <c r="S87" s="974"/>
      <c r="T87" s="974"/>
      <c r="U87" s="974"/>
      <c r="V87" s="862"/>
      <c r="W87" s="976"/>
      <c r="X87" s="976"/>
      <c r="Y87" s="976"/>
    </row>
    <row r="88" spans="1:25" s="244" customFormat="1" ht="14.25" customHeight="1">
      <c r="A88" s="977"/>
      <c r="B88" s="977"/>
      <c r="C88" s="977"/>
      <c r="D88" s="977"/>
      <c r="E88" s="977"/>
      <c r="F88" s="977"/>
      <c r="G88" s="977"/>
      <c r="H88" s="977"/>
      <c r="I88" s="974"/>
      <c r="J88" s="862"/>
      <c r="K88" s="862"/>
      <c r="L88" s="862"/>
      <c r="M88" s="862"/>
      <c r="N88" s="862"/>
      <c r="O88" s="862"/>
      <c r="P88" s="862"/>
      <c r="Q88" s="976"/>
      <c r="R88" s="976"/>
      <c r="S88" s="974"/>
      <c r="T88" s="974"/>
      <c r="U88" s="974"/>
      <c r="V88" s="862"/>
      <c r="W88" s="976"/>
      <c r="X88" s="976"/>
      <c r="Y88" s="976"/>
    </row>
    <row r="89" spans="1:25" s="244" customFormat="1" ht="14.25" customHeight="1">
      <c r="A89" s="977"/>
      <c r="B89" s="977"/>
      <c r="C89" s="977"/>
      <c r="D89" s="977"/>
      <c r="E89" s="977"/>
      <c r="F89" s="977"/>
      <c r="G89" s="977"/>
      <c r="H89" s="977"/>
      <c r="I89" s="974"/>
      <c r="J89" s="862"/>
      <c r="K89" s="862"/>
      <c r="L89" s="862"/>
      <c r="M89" s="862"/>
      <c r="N89" s="862"/>
      <c r="O89" s="862"/>
      <c r="P89" s="862"/>
      <c r="Q89" s="976"/>
      <c r="R89" s="976"/>
      <c r="S89" s="974"/>
      <c r="T89" s="974"/>
      <c r="U89" s="974"/>
      <c r="V89" s="862"/>
      <c r="W89" s="976"/>
      <c r="X89" s="976"/>
      <c r="Y89" s="976"/>
    </row>
    <row r="90" spans="1:25" s="244" customFormat="1" ht="14.25" customHeight="1">
      <c r="A90" s="203"/>
      <c r="B90" s="203"/>
      <c r="C90" s="203"/>
      <c r="D90" s="203"/>
      <c r="E90" s="203"/>
      <c r="F90" s="203"/>
      <c r="G90" s="203"/>
      <c r="H90" s="203"/>
      <c r="I90" s="974"/>
      <c r="J90" s="862"/>
      <c r="K90" s="862"/>
      <c r="L90" s="862"/>
      <c r="M90" s="862"/>
      <c r="N90" s="862"/>
      <c r="O90" s="862"/>
      <c r="P90" s="862"/>
      <c r="Q90" s="862"/>
      <c r="R90" s="862"/>
      <c r="S90" s="974"/>
      <c r="T90" s="974"/>
      <c r="U90" s="974"/>
      <c r="V90" s="862"/>
      <c r="W90" s="862"/>
      <c r="X90" s="862"/>
      <c r="Y90" s="862"/>
    </row>
    <row r="91" spans="9:25" s="244" customFormat="1" ht="14.25" customHeight="1">
      <c r="I91" s="974"/>
      <c r="J91" s="862"/>
      <c r="K91" s="862"/>
      <c r="L91" s="862"/>
      <c r="M91" s="862"/>
      <c r="N91" s="862"/>
      <c r="O91" s="862"/>
      <c r="P91" s="862"/>
      <c r="Q91" s="862"/>
      <c r="R91" s="862"/>
      <c r="S91" s="974"/>
      <c r="T91" s="974"/>
      <c r="U91" s="974"/>
      <c r="V91" s="862"/>
      <c r="W91" s="862"/>
      <c r="X91" s="862"/>
      <c r="Y91" s="862"/>
    </row>
    <row r="92" spans="1:25" s="244" customFormat="1" ht="14.25" customHeight="1">
      <c r="A92" s="83"/>
      <c r="B92" s="83"/>
      <c r="C92" s="974"/>
      <c r="D92" s="974"/>
      <c r="E92" s="974"/>
      <c r="F92" s="974"/>
      <c r="G92" s="974"/>
      <c r="H92" s="974"/>
      <c r="I92" s="974"/>
      <c r="J92" s="862"/>
      <c r="K92" s="862"/>
      <c r="L92" s="862"/>
      <c r="M92" s="862"/>
      <c r="N92" s="862"/>
      <c r="O92" s="862"/>
      <c r="P92" s="862"/>
      <c r="Q92" s="862"/>
      <c r="R92" s="862"/>
      <c r="S92" s="974"/>
      <c r="T92" s="974"/>
      <c r="U92" s="974"/>
      <c r="V92" s="862"/>
      <c r="W92" s="862"/>
      <c r="X92" s="862"/>
      <c r="Y92" s="862"/>
    </row>
    <row r="93" spans="1:25" s="244" customFormat="1" ht="14.25" customHeight="1">
      <c r="A93" s="83"/>
      <c r="B93" s="83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974"/>
      <c r="T93" s="974"/>
      <c r="U93" s="974"/>
      <c r="V93" s="862"/>
      <c r="W93" s="862"/>
      <c r="X93" s="862"/>
      <c r="Y93" s="862"/>
    </row>
    <row r="94" spans="1:25" s="244" customFormat="1" ht="14.25" customHeight="1">
      <c r="A94" s="83"/>
      <c r="B94" s="83"/>
      <c r="C94" s="83"/>
      <c r="D94" s="83"/>
      <c r="E94" s="83"/>
      <c r="F94" s="83"/>
      <c r="G94" s="83"/>
      <c r="H94" s="83"/>
      <c r="I94" s="862"/>
      <c r="J94" s="862"/>
      <c r="K94" s="862"/>
      <c r="L94" s="862"/>
      <c r="M94" s="862"/>
      <c r="N94" s="862"/>
      <c r="O94" s="862"/>
      <c r="P94" s="862"/>
      <c r="Q94" s="976"/>
      <c r="R94" s="976"/>
      <c r="S94" s="974"/>
      <c r="T94" s="974"/>
      <c r="U94" s="974"/>
      <c r="V94" s="862"/>
      <c r="W94" s="862"/>
      <c r="X94" s="862"/>
      <c r="Y94" s="862"/>
    </row>
    <row r="95" spans="1:25" s="244" customFormat="1" ht="14.25" customHeight="1">
      <c r="A95" s="83"/>
      <c r="B95" s="83"/>
      <c r="C95" s="83"/>
      <c r="D95" s="83"/>
      <c r="E95" s="83"/>
      <c r="F95" s="83"/>
      <c r="G95" s="83"/>
      <c r="H95" s="83"/>
      <c r="I95" s="862"/>
      <c r="J95" s="862"/>
      <c r="K95" s="862"/>
      <c r="L95" s="862"/>
      <c r="M95" s="862"/>
      <c r="N95" s="862"/>
      <c r="O95" s="862"/>
      <c r="P95" s="862"/>
      <c r="Q95" s="976"/>
      <c r="R95" s="976"/>
      <c r="S95" s="974"/>
      <c r="T95" s="974"/>
      <c r="U95" s="974"/>
      <c r="V95" s="862"/>
      <c r="W95" s="862"/>
      <c r="X95" s="862"/>
      <c r="Y95" s="862"/>
    </row>
    <row r="96" spans="1:25" s="244" customFormat="1" ht="14.25" customHeight="1">
      <c r="A96" s="978"/>
      <c r="B96" s="978"/>
      <c r="C96" s="978"/>
      <c r="D96" s="978"/>
      <c r="E96" s="978"/>
      <c r="F96" s="978"/>
      <c r="G96" s="978"/>
      <c r="H96" s="978"/>
      <c r="I96" s="862"/>
      <c r="J96" s="862"/>
      <c r="K96" s="862"/>
      <c r="L96" s="862"/>
      <c r="M96" s="862"/>
      <c r="N96" s="862"/>
      <c r="O96" s="862"/>
      <c r="P96" s="862"/>
      <c r="Q96" s="976"/>
      <c r="R96" s="976"/>
      <c r="S96" s="974"/>
      <c r="T96" s="974"/>
      <c r="U96" s="974"/>
      <c r="V96" s="862"/>
      <c r="W96" s="976"/>
      <c r="X96" s="976"/>
      <c r="Y96" s="976"/>
    </row>
    <row r="97" spans="1:25" s="244" customFormat="1" ht="14.25" customHeight="1">
      <c r="A97" s="978"/>
      <c r="B97" s="978"/>
      <c r="C97" s="978"/>
      <c r="D97" s="978"/>
      <c r="E97" s="978"/>
      <c r="F97" s="978"/>
      <c r="G97" s="978"/>
      <c r="H97" s="978"/>
      <c r="I97" s="862"/>
      <c r="J97" s="862"/>
      <c r="K97" s="862"/>
      <c r="L97" s="862"/>
      <c r="M97" s="862"/>
      <c r="N97" s="862"/>
      <c r="O97" s="862"/>
      <c r="P97" s="862"/>
      <c r="Q97" s="976"/>
      <c r="R97" s="976"/>
      <c r="S97" s="862"/>
      <c r="T97" s="862"/>
      <c r="U97" s="862"/>
      <c r="V97" s="862"/>
      <c r="W97" s="976"/>
      <c r="X97" s="976"/>
      <c r="Y97" s="976"/>
    </row>
    <row r="98" spans="1:25" s="244" customFormat="1" ht="14.25" customHeight="1">
      <c r="A98" s="83"/>
      <c r="B98" s="83"/>
      <c r="C98" s="862"/>
      <c r="D98" s="862"/>
      <c r="E98" s="862"/>
      <c r="F98" s="862"/>
      <c r="G98" s="862"/>
      <c r="H98" s="862"/>
      <c r="I98" s="862"/>
      <c r="J98" s="862"/>
      <c r="K98" s="862"/>
      <c r="L98" s="862"/>
      <c r="M98" s="862"/>
      <c r="N98" s="862"/>
      <c r="O98" s="862"/>
      <c r="P98" s="862"/>
      <c r="Q98" s="862"/>
      <c r="R98" s="862"/>
      <c r="S98" s="862"/>
      <c r="T98" s="862"/>
      <c r="U98" s="862"/>
      <c r="V98" s="862"/>
      <c r="W98" s="862"/>
      <c r="X98" s="862"/>
      <c r="Y98" s="862"/>
    </row>
    <row r="99" spans="1:25" s="244" customFormat="1" ht="14.25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62"/>
      <c r="O99" s="862"/>
      <c r="P99" s="862"/>
      <c r="Q99" s="862"/>
      <c r="R99" s="862"/>
      <c r="S99" s="862"/>
      <c r="T99" s="862"/>
      <c r="U99" s="862"/>
      <c r="V99" s="862"/>
      <c r="W99" s="862"/>
      <c r="X99" s="862"/>
      <c r="Y99" s="862"/>
    </row>
    <row r="100" spans="1:25" s="244" customFormat="1" ht="14.2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62"/>
      <c r="O100" s="862"/>
      <c r="P100" s="862"/>
      <c r="Q100" s="862"/>
      <c r="R100" s="862"/>
      <c r="S100" s="862"/>
      <c r="T100" s="862"/>
      <c r="U100" s="862"/>
      <c r="V100" s="862"/>
      <c r="W100" s="862"/>
      <c r="X100" s="862"/>
      <c r="Y100" s="862"/>
    </row>
    <row r="101" spans="1:25" s="244" customFormat="1" ht="14.25" customHeight="1">
      <c r="A101" s="201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62"/>
      <c r="O101" s="862"/>
      <c r="P101" s="862"/>
      <c r="Q101" s="862"/>
      <c r="R101" s="862"/>
      <c r="S101" s="862"/>
      <c r="T101" s="862"/>
      <c r="U101" s="862"/>
      <c r="V101" s="862"/>
      <c r="W101" s="862"/>
      <c r="X101" s="862"/>
      <c r="Y101" s="862"/>
    </row>
    <row r="102" spans="1:25" s="244" customFormat="1" ht="14.25" customHeight="1">
      <c r="A102" s="201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62"/>
      <c r="O102" s="862"/>
      <c r="P102" s="862"/>
      <c r="Q102" s="862"/>
      <c r="R102" s="862"/>
      <c r="S102" s="862"/>
      <c r="T102" s="862"/>
      <c r="U102" s="862"/>
      <c r="V102" s="862"/>
      <c r="W102" s="862"/>
      <c r="X102" s="862"/>
      <c r="Y102" s="862"/>
    </row>
    <row r="103" spans="1:25" s="244" customFormat="1" ht="14.25" customHeight="1">
      <c r="A103" s="862"/>
      <c r="B103" s="862"/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</row>
    <row r="104" spans="1:15" ht="13.5">
      <c r="A104" s="862"/>
      <c r="B104" s="862"/>
      <c r="C104" s="862"/>
      <c r="D104" s="862"/>
      <c r="E104" s="862"/>
      <c r="F104" s="862"/>
      <c r="G104" s="862"/>
      <c r="H104" s="862"/>
      <c r="I104" s="862"/>
      <c r="J104" s="862"/>
      <c r="K104" s="862"/>
      <c r="L104" s="862"/>
      <c r="M104" s="862"/>
      <c r="N104" s="27"/>
      <c r="O104" s="27"/>
    </row>
    <row r="105" spans="1:15" ht="13.5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7"/>
      <c r="O105" s="27"/>
    </row>
    <row r="106" spans="1:15" ht="13.5">
      <c r="A106" s="244"/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7"/>
      <c r="O106" s="27"/>
    </row>
    <row r="107" spans="1:15" ht="13.5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7"/>
      <c r="O107" s="27"/>
    </row>
    <row r="108" spans="1:15" ht="13.5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7"/>
      <c r="O108" s="27"/>
    </row>
    <row r="109" spans="1:15" ht="13.5">
      <c r="A109" s="244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7"/>
      <c r="O109" s="27"/>
    </row>
    <row r="110" spans="1:15" ht="13.5">
      <c r="A110" s="244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7"/>
      <c r="O110" s="27"/>
    </row>
    <row r="111" spans="1:15" ht="13.5">
      <c r="A111" s="244"/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7"/>
      <c r="O111" s="27"/>
    </row>
    <row r="112" spans="1:15" ht="13.5">
      <c r="A112" s="244"/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7"/>
      <c r="O112" s="27"/>
    </row>
    <row r="113" spans="1:15" ht="13.5">
      <c r="A113" s="244"/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7"/>
      <c r="O113" s="27"/>
    </row>
    <row r="114" spans="1:15" ht="13.5">
      <c r="A114" s="244"/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7"/>
      <c r="O114" s="27"/>
    </row>
    <row r="115" spans="1:15" ht="13.5">
      <c r="A115" s="244"/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7"/>
      <c r="O115" s="27"/>
    </row>
    <row r="116" spans="1:15" ht="13.5">
      <c r="A116" s="244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7"/>
      <c r="O116" s="27"/>
    </row>
    <row r="117" spans="1:14" ht="13.5">
      <c r="A117" s="244"/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7"/>
    </row>
    <row r="118" spans="1:14" ht="13.5">
      <c r="A118" s="244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7"/>
    </row>
    <row r="119" spans="1:13" ht="13.5">
      <c r="A119" s="244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</row>
    <row r="120" spans="1:13" ht="13.5">
      <c r="A120" s="244"/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</row>
    <row r="121" spans="1:13" ht="13.5">
      <c r="A121" s="244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</row>
    <row r="122" spans="1:13" ht="13.5">
      <c r="A122" s="244"/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</row>
    <row r="123" spans="1:13" ht="13.5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</row>
  </sheetData>
  <sheetProtection/>
  <mergeCells count="263">
    <mergeCell ref="A67:B67"/>
    <mergeCell ref="C67:D67"/>
    <mergeCell ref="K67:O67"/>
    <mergeCell ref="A68:B68"/>
    <mergeCell ref="C68:D68"/>
    <mergeCell ref="K68:O68"/>
    <mergeCell ref="A65:B65"/>
    <mergeCell ref="C65:D65"/>
    <mergeCell ref="K65:O65"/>
    <mergeCell ref="A66:B66"/>
    <mergeCell ref="C66:D66"/>
    <mergeCell ref="K66:O66"/>
    <mergeCell ref="A63:B63"/>
    <mergeCell ref="C63:D63"/>
    <mergeCell ref="K63:O63"/>
    <mergeCell ref="A64:B64"/>
    <mergeCell ref="C64:D64"/>
    <mergeCell ref="K64:O64"/>
    <mergeCell ref="A61:B61"/>
    <mergeCell ref="C61:D61"/>
    <mergeCell ref="K61:O61"/>
    <mergeCell ref="A62:B62"/>
    <mergeCell ref="C62:D62"/>
    <mergeCell ref="K62:O62"/>
    <mergeCell ref="A59:B59"/>
    <mergeCell ref="C59:D59"/>
    <mergeCell ref="K59:O59"/>
    <mergeCell ref="A60:B60"/>
    <mergeCell ref="C60:D60"/>
    <mergeCell ref="K60:O60"/>
    <mergeCell ref="A57:B57"/>
    <mergeCell ref="C57:D57"/>
    <mergeCell ref="K57:O57"/>
    <mergeCell ref="A58:B58"/>
    <mergeCell ref="C58:D58"/>
    <mergeCell ref="K58:O58"/>
    <mergeCell ref="V53:V55"/>
    <mergeCell ref="W53:W55"/>
    <mergeCell ref="X54:X55"/>
    <mergeCell ref="A56:B56"/>
    <mergeCell ref="C56:D56"/>
    <mergeCell ref="K56:O56"/>
    <mergeCell ref="P53:P55"/>
    <mergeCell ref="Q53:Q55"/>
    <mergeCell ref="R53:R55"/>
    <mergeCell ref="S53:S55"/>
    <mergeCell ref="T53:T55"/>
    <mergeCell ref="U53:U55"/>
    <mergeCell ref="Y45:Y47"/>
    <mergeCell ref="A53:B55"/>
    <mergeCell ref="C53:D55"/>
    <mergeCell ref="E53:E55"/>
    <mergeCell ref="F53:F55"/>
    <mergeCell ref="G53:G55"/>
    <mergeCell ref="H53:H55"/>
    <mergeCell ref="I53:I55"/>
    <mergeCell ref="J53:J55"/>
    <mergeCell ref="K53:O55"/>
    <mergeCell ref="S45:S47"/>
    <mergeCell ref="T45:T47"/>
    <mergeCell ref="U45:U47"/>
    <mergeCell ref="V45:V47"/>
    <mergeCell ref="W45:W47"/>
    <mergeCell ref="X45:X47"/>
    <mergeCell ref="G45:G47"/>
    <mergeCell ref="H45:H47"/>
    <mergeCell ref="I45:J47"/>
    <mergeCell ref="O45:P47"/>
    <mergeCell ref="Q45:Q47"/>
    <mergeCell ref="R45:R47"/>
    <mergeCell ref="A45:A47"/>
    <mergeCell ref="B45:B47"/>
    <mergeCell ref="C45:C47"/>
    <mergeCell ref="D45:D47"/>
    <mergeCell ref="E45:E47"/>
    <mergeCell ref="F45:F47"/>
    <mergeCell ref="T42:T44"/>
    <mergeCell ref="U42:U44"/>
    <mergeCell ref="V42:V44"/>
    <mergeCell ref="W42:W44"/>
    <mergeCell ref="X42:X44"/>
    <mergeCell ref="Y42:Y44"/>
    <mergeCell ref="H42:H44"/>
    <mergeCell ref="I42:J44"/>
    <mergeCell ref="O42:P44"/>
    <mergeCell ref="Q42:Q44"/>
    <mergeCell ref="R42:R44"/>
    <mergeCell ref="S42:S44"/>
    <mergeCell ref="W39:W41"/>
    <mergeCell ref="X39:X41"/>
    <mergeCell ref="Y39:Y41"/>
    <mergeCell ref="A42:A44"/>
    <mergeCell ref="B42:B44"/>
    <mergeCell ref="C42:C44"/>
    <mergeCell ref="D42:D44"/>
    <mergeCell ref="E42:E44"/>
    <mergeCell ref="F42:F44"/>
    <mergeCell ref="G42:G44"/>
    <mergeCell ref="Q39:Q41"/>
    <mergeCell ref="R39:R41"/>
    <mergeCell ref="S39:S41"/>
    <mergeCell ref="T39:T41"/>
    <mergeCell ref="U39:U41"/>
    <mergeCell ref="V39:V41"/>
    <mergeCell ref="V36:V38"/>
    <mergeCell ref="W36:W38"/>
    <mergeCell ref="X36:X38"/>
    <mergeCell ref="Y36:Y38"/>
    <mergeCell ref="A39:B41"/>
    <mergeCell ref="C39:D41"/>
    <mergeCell ref="E39:F41"/>
    <mergeCell ref="G39:H41"/>
    <mergeCell ref="I39:J41"/>
    <mergeCell ref="O39:P41"/>
    <mergeCell ref="W33:W35"/>
    <mergeCell ref="X33:X35"/>
    <mergeCell ref="Y33:Y35"/>
    <mergeCell ref="A36:J37"/>
    <mergeCell ref="O36:P38"/>
    <mergeCell ref="Q36:Q38"/>
    <mergeCell ref="R36:R38"/>
    <mergeCell ref="S36:S38"/>
    <mergeCell ref="T36:T38"/>
    <mergeCell ref="U36:U38"/>
    <mergeCell ref="W30:W32"/>
    <mergeCell ref="X30:X32"/>
    <mergeCell ref="Y30:Y32"/>
    <mergeCell ref="O33:P35"/>
    <mergeCell ref="Q33:Q35"/>
    <mergeCell ref="R33:R35"/>
    <mergeCell ref="S33:S35"/>
    <mergeCell ref="T33:T35"/>
    <mergeCell ref="U33:U35"/>
    <mergeCell ref="V33:V35"/>
    <mergeCell ref="Q30:Q32"/>
    <mergeCell ref="R30:R32"/>
    <mergeCell ref="S30:S32"/>
    <mergeCell ref="T30:T32"/>
    <mergeCell ref="U30:U32"/>
    <mergeCell ref="V30:V32"/>
    <mergeCell ref="A30:B32"/>
    <mergeCell ref="C30:D32"/>
    <mergeCell ref="E30:F32"/>
    <mergeCell ref="G30:H32"/>
    <mergeCell ref="I30:J32"/>
    <mergeCell ref="O30:P32"/>
    <mergeCell ref="V27:V29"/>
    <mergeCell ref="W27:W29"/>
    <mergeCell ref="X27:X29"/>
    <mergeCell ref="Y27:Y29"/>
    <mergeCell ref="A28:B29"/>
    <mergeCell ref="C28:D29"/>
    <mergeCell ref="E28:F29"/>
    <mergeCell ref="G28:H29"/>
    <mergeCell ref="I28:J29"/>
    <mergeCell ref="V24:V26"/>
    <mergeCell ref="W24:W26"/>
    <mergeCell ref="X24:X26"/>
    <mergeCell ref="Y24:Y26"/>
    <mergeCell ref="O27:P29"/>
    <mergeCell ref="Q27:Q29"/>
    <mergeCell ref="R27:R29"/>
    <mergeCell ref="S27:S29"/>
    <mergeCell ref="T27:T29"/>
    <mergeCell ref="U27:U29"/>
    <mergeCell ref="W21:W23"/>
    <mergeCell ref="X21:X23"/>
    <mergeCell ref="Y21:Y23"/>
    <mergeCell ref="A24:J25"/>
    <mergeCell ref="O24:P26"/>
    <mergeCell ref="Q24:Q26"/>
    <mergeCell ref="R24:R26"/>
    <mergeCell ref="S24:S26"/>
    <mergeCell ref="T24:T26"/>
    <mergeCell ref="U24:U26"/>
    <mergeCell ref="W18:W20"/>
    <mergeCell ref="X18:X20"/>
    <mergeCell ref="Y18:Y20"/>
    <mergeCell ref="O21:P23"/>
    <mergeCell ref="Q21:Q23"/>
    <mergeCell ref="R21:R23"/>
    <mergeCell ref="S21:S23"/>
    <mergeCell ref="T21:T23"/>
    <mergeCell ref="U21:U23"/>
    <mergeCell ref="V21:V23"/>
    <mergeCell ref="Q18:Q20"/>
    <mergeCell ref="R18:R20"/>
    <mergeCell ref="S18:S20"/>
    <mergeCell ref="T18:T20"/>
    <mergeCell ref="U18:U20"/>
    <mergeCell ref="V18:V20"/>
    <mergeCell ref="A18:B20"/>
    <mergeCell ref="C18:D20"/>
    <mergeCell ref="E18:F20"/>
    <mergeCell ref="G18:H20"/>
    <mergeCell ref="I18:J20"/>
    <mergeCell ref="O18:P20"/>
    <mergeCell ref="W15:W17"/>
    <mergeCell ref="X15:X17"/>
    <mergeCell ref="Y15:Y17"/>
    <mergeCell ref="A16:B17"/>
    <mergeCell ref="C16:D17"/>
    <mergeCell ref="E16:F17"/>
    <mergeCell ref="G16:H17"/>
    <mergeCell ref="I16:J17"/>
    <mergeCell ref="W12:W14"/>
    <mergeCell ref="X12:X14"/>
    <mergeCell ref="Y12:Y14"/>
    <mergeCell ref="O15:P17"/>
    <mergeCell ref="Q15:Q17"/>
    <mergeCell ref="R15:R17"/>
    <mergeCell ref="S15:S17"/>
    <mergeCell ref="T15:T17"/>
    <mergeCell ref="U15:U17"/>
    <mergeCell ref="V15:V17"/>
    <mergeCell ref="Q12:Q14"/>
    <mergeCell ref="R12:R14"/>
    <mergeCell ref="S12:S14"/>
    <mergeCell ref="T12:T14"/>
    <mergeCell ref="U12:U14"/>
    <mergeCell ref="V12:V14"/>
    <mergeCell ref="A12:B14"/>
    <mergeCell ref="C12:D14"/>
    <mergeCell ref="E12:F14"/>
    <mergeCell ref="G12:H14"/>
    <mergeCell ref="I12:J14"/>
    <mergeCell ref="O12:P14"/>
    <mergeCell ref="U9:U11"/>
    <mergeCell ref="V9:V11"/>
    <mergeCell ref="W9:W11"/>
    <mergeCell ref="X9:X11"/>
    <mergeCell ref="Y9:Y11"/>
    <mergeCell ref="A10:B11"/>
    <mergeCell ref="C10:D11"/>
    <mergeCell ref="E10:F11"/>
    <mergeCell ref="G10:H11"/>
    <mergeCell ref="I10:J11"/>
    <mergeCell ref="U5:U8"/>
    <mergeCell ref="V5:V8"/>
    <mergeCell ref="W5:W8"/>
    <mergeCell ref="Y5:Y8"/>
    <mergeCell ref="X6:X8"/>
    <mergeCell ref="O9:P11"/>
    <mergeCell ref="Q9:Q11"/>
    <mergeCell ref="R9:R11"/>
    <mergeCell ref="S9:S11"/>
    <mergeCell ref="T9:T11"/>
    <mergeCell ref="Q3:Q8"/>
    <mergeCell ref="R3:Y4"/>
    <mergeCell ref="A5:B7"/>
    <mergeCell ref="C5:D7"/>
    <mergeCell ref="E5:F7"/>
    <mergeCell ref="G5:H7"/>
    <mergeCell ref="I5:J7"/>
    <mergeCell ref="R5:R8"/>
    <mergeCell ref="S5:S8"/>
    <mergeCell ref="T5:T8"/>
    <mergeCell ref="A3:B4"/>
    <mergeCell ref="C3:D4"/>
    <mergeCell ref="E3:F4"/>
    <mergeCell ref="G3:H4"/>
    <mergeCell ref="I3:J4"/>
    <mergeCell ref="O3:P8"/>
  </mergeCells>
  <printOptions/>
  <pageMargins left="0.5905511811023623" right="0.4724409448818898" top="0.984251968503937" bottom="0.7874015748031497" header="0.5118110236220472" footer="0.5118110236220472"/>
  <pageSetup horizontalDpi="600" verticalDpi="600" orientation="portrait" pageOrder="overThenDown" paperSize="9" scale="94" r:id="rId1"/>
  <headerFooter alignWithMargins="0">
    <oddFooter>&amp;C- &amp;P+55 -</oddFooter>
  </headerFooter>
  <colBreaks count="1" manualBreakCount="1">
    <brk id="10" max="6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E45"/>
  <sheetViews>
    <sheetView zoomScaleSheetLayoutView="100" workbookViewId="0" topLeftCell="A1">
      <selection activeCell="AV41" sqref="AV41:BA41"/>
    </sheetView>
  </sheetViews>
  <sheetFormatPr defaultColWidth="9.00390625" defaultRowHeight="13.5"/>
  <cols>
    <col min="1" max="5" width="1.625" style="0" customWidth="1"/>
    <col min="6" max="6" width="0.875" style="0" customWidth="1"/>
    <col min="7" max="10" width="1.625" style="0" customWidth="1"/>
    <col min="11" max="11" width="2.25390625" style="0" customWidth="1"/>
    <col min="12" max="53" width="1.625" style="0" customWidth="1"/>
    <col min="54" max="55" width="1.625" style="0" hidden="1" customWidth="1"/>
    <col min="56" max="56" width="2.875" style="0" customWidth="1"/>
    <col min="57" max="66" width="1.625" style="0" customWidth="1"/>
    <col min="67" max="67" width="2.375" style="0" customWidth="1"/>
    <col min="68" max="108" width="1.625" style="0" customWidth="1"/>
    <col min="109" max="109" width="2.625" style="0" customWidth="1"/>
    <col min="111" max="153" width="1.875" style="0" customWidth="1"/>
    <col min="154" max="163" width="1.75390625" style="0" customWidth="1"/>
  </cols>
  <sheetData>
    <row r="1" ht="21.75" customHeight="1">
      <c r="A1" s="313" t="s">
        <v>461</v>
      </c>
    </row>
    <row r="2" ht="6" customHeight="1">
      <c r="A2" s="313"/>
    </row>
    <row r="3" spans="1:57" ht="14.25" customHeight="1">
      <c r="A3" t="s">
        <v>462</v>
      </c>
      <c r="BE3" t="s">
        <v>463</v>
      </c>
    </row>
    <row r="4" spans="45:107" ht="11.25" customHeight="1" thickBot="1">
      <c r="AS4" s="979" t="s">
        <v>49</v>
      </c>
      <c r="AT4" s="979"/>
      <c r="AU4" s="979"/>
      <c r="AV4" s="979"/>
      <c r="AW4" s="979"/>
      <c r="AX4" s="979"/>
      <c r="AY4" s="979"/>
      <c r="CW4" s="979" t="s">
        <v>49</v>
      </c>
      <c r="CX4" s="979"/>
      <c r="CY4" s="979"/>
      <c r="CZ4" s="979"/>
      <c r="DA4" s="979"/>
      <c r="DB4" s="979"/>
      <c r="DC4" s="979"/>
    </row>
    <row r="5" spans="1:161" ht="15.75" customHeight="1">
      <c r="A5" s="152" t="s">
        <v>52</v>
      </c>
      <c r="B5" s="136"/>
      <c r="C5" s="136"/>
      <c r="D5" s="136"/>
      <c r="E5" s="136"/>
      <c r="F5" s="136"/>
      <c r="G5" s="751" t="s">
        <v>464</v>
      </c>
      <c r="H5" s="980"/>
      <c r="I5" s="980"/>
      <c r="J5" s="980"/>
      <c r="K5" s="980"/>
      <c r="L5" s="930" t="s">
        <v>465</v>
      </c>
      <c r="M5" s="239"/>
      <c r="N5" s="239"/>
      <c r="O5" s="239"/>
      <c r="P5" s="240"/>
      <c r="Q5" s="136" t="s">
        <v>466</v>
      </c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17"/>
      <c r="AZ5" s="981"/>
      <c r="BA5" s="894"/>
      <c r="BB5" s="30"/>
      <c r="BC5" s="30"/>
      <c r="BD5" s="83"/>
      <c r="BE5" s="544" t="s">
        <v>52</v>
      </c>
      <c r="BF5" s="723"/>
      <c r="BG5" s="723"/>
      <c r="BH5" s="723"/>
      <c r="BI5" s="723"/>
      <c r="BJ5" s="723"/>
      <c r="BK5" s="982" t="s">
        <v>467</v>
      </c>
      <c r="BL5" s="983"/>
      <c r="BM5" s="983"/>
      <c r="BN5" s="983"/>
      <c r="BO5" s="984"/>
      <c r="BP5" s="985" t="s">
        <v>468</v>
      </c>
      <c r="BQ5" s="986"/>
      <c r="BR5" s="986"/>
      <c r="BS5" s="986"/>
      <c r="BT5" s="987"/>
      <c r="BU5" s="988" t="s">
        <v>469</v>
      </c>
      <c r="BV5" s="782"/>
      <c r="BW5" s="782"/>
      <c r="BX5" s="782"/>
      <c r="BY5" s="782"/>
      <c r="BZ5" s="988" t="s">
        <v>470</v>
      </c>
      <c r="CA5" s="782"/>
      <c r="CB5" s="782"/>
      <c r="CC5" s="782"/>
      <c r="CD5" s="782"/>
      <c r="CE5" s="988" t="s">
        <v>471</v>
      </c>
      <c r="CF5" s="782"/>
      <c r="CG5" s="782"/>
      <c r="CH5" s="782"/>
      <c r="CI5" s="782"/>
      <c r="CJ5" s="988" t="s">
        <v>472</v>
      </c>
      <c r="CK5" s="782"/>
      <c r="CL5" s="782"/>
      <c r="CM5" s="782"/>
      <c r="CN5" s="782"/>
      <c r="CO5" s="988" t="s">
        <v>473</v>
      </c>
      <c r="CP5" s="782"/>
      <c r="CQ5" s="782"/>
      <c r="CR5" s="782"/>
      <c r="CS5" s="782"/>
      <c r="CT5" s="988" t="s">
        <v>474</v>
      </c>
      <c r="CU5" s="782"/>
      <c r="CV5" s="782"/>
      <c r="CW5" s="782"/>
      <c r="CX5" s="782"/>
      <c r="CY5" s="988" t="s">
        <v>475</v>
      </c>
      <c r="CZ5" s="782"/>
      <c r="DA5" s="782"/>
      <c r="DB5" s="782"/>
      <c r="DC5" s="989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990"/>
      <c r="DS5" s="990"/>
      <c r="DT5" s="990"/>
      <c r="DU5" s="990"/>
      <c r="DV5" s="990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</row>
    <row r="6" spans="1:161" ht="15.75" customHeight="1" thickBot="1">
      <c r="A6" s="140"/>
      <c r="B6" s="250"/>
      <c r="C6" s="250"/>
      <c r="D6" s="250"/>
      <c r="E6" s="250"/>
      <c r="F6" s="250"/>
      <c r="G6" s="991"/>
      <c r="H6" s="991"/>
      <c r="I6" s="991"/>
      <c r="J6" s="991"/>
      <c r="K6" s="991"/>
      <c r="L6" s="424"/>
      <c r="M6" s="228"/>
      <c r="N6" s="228"/>
      <c r="O6" s="228"/>
      <c r="P6" s="248"/>
      <c r="Q6" s="206" t="s">
        <v>476</v>
      </c>
      <c r="R6" s="209"/>
      <c r="S6" s="209"/>
      <c r="T6" s="209"/>
      <c r="U6" s="420"/>
      <c r="V6" s="258" t="s">
        <v>477</v>
      </c>
      <c r="W6" s="992"/>
      <c r="X6" s="992"/>
      <c r="Y6" s="992"/>
      <c r="Z6" s="992"/>
      <c r="AA6" s="992"/>
      <c r="AB6" s="992"/>
      <c r="AC6" s="992"/>
      <c r="AD6" s="992"/>
      <c r="AE6" s="992"/>
      <c r="AF6" s="992"/>
      <c r="AG6" s="992"/>
      <c r="AH6" s="992"/>
      <c r="AI6" s="992"/>
      <c r="AJ6" s="992"/>
      <c r="AK6" s="992"/>
      <c r="AL6" s="992"/>
      <c r="AM6" s="992"/>
      <c r="AN6" s="992"/>
      <c r="AO6" s="992"/>
      <c r="AP6" s="992"/>
      <c r="AQ6" s="992"/>
      <c r="AR6" s="992"/>
      <c r="AS6" s="992"/>
      <c r="AT6" s="992"/>
      <c r="AU6" s="992"/>
      <c r="AV6" s="992"/>
      <c r="AW6" s="992"/>
      <c r="AX6" s="992"/>
      <c r="AY6" s="993"/>
      <c r="AZ6" s="981"/>
      <c r="BA6" s="894"/>
      <c r="BB6" s="30"/>
      <c r="BC6" s="30"/>
      <c r="BD6" s="83"/>
      <c r="BE6" s="787"/>
      <c r="BF6" s="788"/>
      <c r="BG6" s="788"/>
      <c r="BH6" s="788"/>
      <c r="BI6" s="788"/>
      <c r="BJ6" s="788"/>
      <c r="BK6" s="994"/>
      <c r="BL6" s="995"/>
      <c r="BM6" s="995"/>
      <c r="BN6" s="995"/>
      <c r="BO6" s="996"/>
      <c r="BP6" s="853"/>
      <c r="BQ6" s="997"/>
      <c r="BR6" s="997"/>
      <c r="BS6" s="997"/>
      <c r="BT6" s="998"/>
      <c r="BU6" s="999"/>
      <c r="BV6" s="999"/>
      <c r="BW6" s="999"/>
      <c r="BX6" s="999"/>
      <c r="BY6" s="999"/>
      <c r="BZ6" s="999"/>
      <c r="CA6" s="999"/>
      <c r="CB6" s="999"/>
      <c r="CC6" s="999"/>
      <c r="CD6" s="999"/>
      <c r="CE6" s="999"/>
      <c r="CF6" s="999"/>
      <c r="CG6" s="999"/>
      <c r="CH6" s="999"/>
      <c r="CI6" s="999"/>
      <c r="CJ6" s="999"/>
      <c r="CK6" s="999"/>
      <c r="CL6" s="999"/>
      <c r="CM6" s="999"/>
      <c r="CN6" s="999"/>
      <c r="CO6" s="999"/>
      <c r="CP6" s="999"/>
      <c r="CQ6" s="999"/>
      <c r="CR6" s="999"/>
      <c r="CS6" s="999"/>
      <c r="CT6" s="999"/>
      <c r="CU6" s="999"/>
      <c r="CV6" s="999"/>
      <c r="CW6" s="999"/>
      <c r="CX6" s="999"/>
      <c r="CY6" s="999"/>
      <c r="CZ6" s="999"/>
      <c r="DA6" s="999"/>
      <c r="DB6" s="999"/>
      <c r="DC6" s="1000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990"/>
      <c r="DS6" s="990"/>
      <c r="DT6" s="990"/>
      <c r="DU6" s="990"/>
      <c r="DV6" s="990"/>
      <c r="DW6" s="83"/>
      <c r="DX6" s="1001"/>
      <c r="DY6" s="1001"/>
      <c r="DZ6" s="1001"/>
      <c r="EA6" s="1001"/>
      <c r="EB6" s="83"/>
      <c r="EC6" s="1001"/>
      <c r="ED6" s="1001"/>
      <c r="EE6" s="1001"/>
      <c r="EF6" s="1001"/>
      <c r="EG6" s="1001"/>
      <c r="EH6" s="1001"/>
      <c r="EI6" s="1001"/>
      <c r="EJ6" s="1001"/>
      <c r="EK6" s="1001"/>
      <c r="EL6" s="1001"/>
      <c r="EM6" s="1001"/>
      <c r="EN6" s="1001"/>
      <c r="EO6" s="1001"/>
      <c r="EP6" s="1001"/>
      <c r="EQ6" s="1001"/>
      <c r="ER6" s="1001"/>
      <c r="ES6" s="1001"/>
      <c r="ET6" s="1001"/>
      <c r="EU6" s="1001"/>
      <c r="EV6" s="1001"/>
      <c r="EW6" s="1001"/>
      <c r="EX6" s="1001"/>
      <c r="EY6" s="1001"/>
      <c r="EZ6" s="1001"/>
      <c r="FA6" s="1001"/>
      <c r="FB6" s="1001"/>
      <c r="FC6" s="1001"/>
      <c r="FD6" s="1001"/>
      <c r="FE6" s="1001"/>
    </row>
    <row r="7" spans="1:161" ht="26.25" customHeight="1">
      <c r="A7" s="459"/>
      <c r="B7" s="118"/>
      <c r="C7" s="118"/>
      <c r="D7" s="118"/>
      <c r="E7" s="118"/>
      <c r="F7" s="118"/>
      <c r="G7" s="755"/>
      <c r="H7" s="755"/>
      <c r="I7" s="755"/>
      <c r="J7" s="755"/>
      <c r="K7" s="755"/>
      <c r="L7" s="211"/>
      <c r="M7" s="212"/>
      <c r="N7" s="212"/>
      <c r="O7" s="212"/>
      <c r="P7" s="213"/>
      <c r="Q7" s="104"/>
      <c r="R7" s="105"/>
      <c r="S7" s="105"/>
      <c r="T7" s="105"/>
      <c r="U7" s="177"/>
      <c r="V7" s="118" t="s">
        <v>478</v>
      </c>
      <c r="W7" s="118"/>
      <c r="X7" s="118"/>
      <c r="Y7" s="118"/>
      <c r="Z7" s="118"/>
      <c r="AA7" s="1002" t="s">
        <v>479</v>
      </c>
      <c r="AB7" s="1003"/>
      <c r="AC7" s="1003"/>
      <c r="AD7" s="1003"/>
      <c r="AE7" s="1004"/>
      <c r="AF7" s="118" t="s">
        <v>480</v>
      </c>
      <c r="AG7" s="118"/>
      <c r="AH7" s="118"/>
      <c r="AI7" s="118"/>
      <c r="AJ7" s="118"/>
      <c r="AK7" s="118" t="s">
        <v>481</v>
      </c>
      <c r="AL7" s="118"/>
      <c r="AM7" s="118"/>
      <c r="AN7" s="118"/>
      <c r="AO7" s="118"/>
      <c r="AP7" s="1002" t="s">
        <v>482</v>
      </c>
      <c r="AQ7" s="1003"/>
      <c r="AR7" s="1003"/>
      <c r="AS7" s="1003"/>
      <c r="AT7" s="1004"/>
      <c r="AU7" s="1005" t="s">
        <v>483</v>
      </c>
      <c r="AV7" s="1003"/>
      <c r="AW7" s="1003"/>
      <c r="AX7" s="1003"/>
      <c r="AY7" s="1006"/>
      <c r="AZ7" s="981"/>
      <c r="BA7" s="894"/>
      <c r="BB7" s="1007"/>
      <c r="BC7" s="1007"/>
      <c r="BD7" s="83"/>
      <c r="BE7" s="553"/>
      <c r="BF7" s="727"/>
      <c r="BG7" s="727"/>
      <c r="BH7" s="727"/>
      <c r="BI7" s="727"/>
      <c r="BJ7" s="727"/>
      <c r="BK7" s="1008"/>
      <c r="BL7" s="1009"/>
      <c r="BM7" s="1009"/>
      <c r="BN7" s="1009"/>
      <c r="BO7" s="1010"/>
      <c r="BP7" s="865"/>
      <c r="BQ7" s="1011"/>
      <c r="BR7" s="1011"/>
      <c r="BS7" s="1011"/>
      <c r="BT7" s="1012"/>
      <c r="BU7" s="788"/>
      <c r="BV7" s="788"/>
      <c r="BW7" s="788"/>
      <c r="BX7" s="788"/>
      <c r="BY7" s="788"/>
      <c r="BZ7" s="788"/>
      <c r="CA7" s="788"/>
      <c r="CB7" s="788"/>
      <c r="CC7" s="788"/>
      <c r="CD7" s="788"/>
      <c r="CE7" s="788"/>
      <c r="CF7" s="788"/>
      <c r="CG7" s="788"/>
      <c r="CH7" s="788"/>
      <c r="CI7" s="788"/>
      <c r="CJ7" s="788"/>
      <c r="CK7" s="788"/>
      <c r="CL7" s="788"/>
      <c r="CM7" s="788"/>
      <c r="CN7" s="788"/>
      <c r="CO7" s="788"/>
      <c r="CP7" s="788"/>
      <c r="CQ7" s="788"/>
      <c r="CR7" s="788"/>
      <c r="CS7" s="788"/>
      <c r="CT7" s="788"/>
      <c r="CU7" s="788"/>
      <c r="CV7" s="788"/>
      <c r="CW7" s="788"/>
      <c r="CX7" s="788"/>
      <c r="CY7" s="788"/>
      <c r="CZ7" s="788"/>
      <c r="DA7" s="788"/>
      <c r="DB7" s="788"/>
      <c r="DC7" s="101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990"/>
      <c r="DS7" s="990"/>
      <c r="DT7" s="990"/>
      <c r="DU7" s="990"/>
      <c r="DV7" s="990"/>
      <c r="DW7" s="1001"/>
      <c r="DX7" s="1001"/>
      <c r="DY7" s="1001"/>
      <c r="DZ7" s="1001"/>
      <c r="EA7" s="1001"/>
      <c r="EB7" s="83"/>
      <c r="EC7" s="83"/>
      <c r="ED7" s="83"/>
      <c r="EE7" s="83"/>
      <c r="EF7" s="83"/>
      <c r="EG7" s="201"/>
      <c r="EH7" s="201"/>
      <c r="EI7" s="201"/>
      <c r="EJ7" s="201"/>
      <c r="EK7" s="201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201"/>
      <c r="EW7" s="201"/>
      <c r="EX7" s="201"/>
      <c r="EY7" s="201"/>
      <c r="EZ7" s="201"/>
      <c r="FA7" s="201"/>
      <c r="FB7" s="201"/>
      <c r="FC7" s="201"/>
      <c r="FD7" s="201"/>
      <c r="FE7" s="201"/>
    </row>
    <row r="8" spans="1:161" s="60" customFormat="1" ht="21" customHeight="1">
      <c r="A8" s="553" t="s">
        <v>484</v>
      </c>
      <c r="B8" s="727"/>
      <c r="C8" s="727"/>
      <c r="D8" s="727"/>
      <c r="E8" s="727"/>
      <c r="F8" s="727"/>
      <c r="G8" s="1014">
        <f>SUM(G9:G20)</f>
        <v>779</v>
      </c>
      <c r="H8" s="1014"/>
      <c r="I8" s="1014"/>
      <c r="J8" s="1014"/>
      <c r="K8" s="1014"/>
      <c r="L8" s="275">
        <f>SUM(L9:L20)</f>
        <v>55</v>
      </c>
      <c r="M8" s="275"/>
      <c r="N8" s="275"/>
      <c r="O8" s="275"/>
      <c r="P8" s="275"/>
      <c r="Q8" s="1014">
        <f>SUM(Q9:Q20)</f>
        <v>730</v>
      </c>
      <c r="R8" s="1014"/>
      <c r="S8" s="1014"/>
      <c r="T8" s="1014"/>
      <c r="U8" s="1014"/>
      <c r="V8" s="275">
        <f>SUM(V9:V20)</f>
        <v>362</v>
      </c>
      <c r="W8" s="275"/>
      <c r="X8" s="275"/>
      <c r="Y8" s="275"/>
      <c r="Z8" s="275"/>
      <c r="AA8" s="275">
        <f>SUM(AA9:AA20)</f>
        <v>162</v>
      </c>
      <c r="AB8" s="275"/>
      <c r="AC8" s="275"/>
      <c r="AD8" s="275"/>
      <c r="AE8" s="275"/>
      <c r="AF8" s="275">
        <f>SUM(AF9:AF20)</f>
        <v>308</v>
      </c>
      <c r="AG8" s="275"/>
      <c r="AH8" s="275"/>
      <c r="AI8" s="275"/>
      <c r="AJ8" s="275"/>
      <c r="AK8" s="275">
        <f>SUM(AK9:AK20)</f>
        <v>210</v>
      </c>
      <c r="AL8" s="275"/>
      <c r="AM8" s="275"/>
      <c r="AN8" s="275"/>
      <c r="AO8" s="275"/>
      <c r="AP8" s="275">
        <f>SUM(AP9:AP20)</f>
        <v>378</v>
      </c>
      <c r="AQ8" s="275"/>
      <c r="AR8" s="275"/>
      <c r="AS8" s="275"/>
      <c r="AT8" s="275"/>
      <c r="AU8" s="275">
        <f>SUM(AU9:AU20)</f>
        <v>317</v>
      </c>
      <c r="AV8" s="275"/>
      <c r="AW8" s="275"/>
      <c r="AX8" s="275"/>
      <c r="AY8" s="1015"/>
      <c r="AZ8" s="895"/>
      <c r="BA8" s="895"/>
      <c r="BB8" s="478"/>
      <c r="BC8" s="478"/>
      <c r="BD8" s="1016"/>
      <c r="BE8" s="553" t="s">
        <v>484</v>
      </c>
      <c r="BF8" s="727"/>
      <c r="BG8" s="727"/>
      <c r="BH8" s="727"/>
      <c r="BI8" s="727"/>
      <c r="BJ8" s="727"/>
      <c r="BK8" s="734">
        <f>SUM(BK9:BK20)</f>
        <v>2204</v>
      </c>
      <c r="BL8" s="734"/>
      <c r="BM8" s="734"/>
      <c r="BN8" s="734"/>
      <c r="BO8" s="734"/>
      <c r="BP8" s="734">
        <f>SUM(BP9:BP20)</f>
        <v>209</v>
      </c>
      <c r="BQ8" s="734"/>
      <c r="BR8" s="734"/>
      <c r="BS8" s="734"/>
      <c r="BT8" s="734"/>
      <c r="BU8" s="734">
        <f>SUM(BU9:BU20)</f>
        <v>64</v>
      </c>
      <c r="BV8" s="734"/>
      <c r="BW8" s="734"/>
      <c r="BX8" s="734"/>
      <c r="BY8" s="734"/>
      <c r="BZ8" s="734">
        <f>SUM(BZ9:BZ20)</f>
        <v>28</v>
      </c>
      <c r="CA8" s="734"/>
      <c r="CB8" s="734"/>
      <c r="CC8" s="734"/>
      <c r="CD8" s="734"/>
      <c r="CE8" s="734">
        <f>SUM(CE9:CE20)</f>
        <v>6</v>
      </c>
      <c r="CF8" s="734"/>
      <c r="CG8" s="734"/>
      <c r="CH8" s="734"/>
      <c r="CI8" s="734"/>
      <c r="CJ8" s="734">
        <f>SUM(CJ9:CJ20)</f>
        <v>6</v>
      </c>
      <c r="CK8" s="734"/>
      <c r="CL8" s="734"/>
      <c r="CM8" s="734"/>
      <c r="CN8" s="734"/>
      <c r="CO8" s="734">
        <f>SUM(CO9:CO20)</f>
        <v>3</v>
      </c>
      <c r="CP8" s="734"/>
      <c r="CQ8" s="734"/>
      <c r="CR8" s="734"/>
      <c r="CS8" s="734"/>
      <c r="CT8" s="734">
        <f>SUM(CT9:CT20)</f>
        <v>0</v>
      </c>
      <c r="CU8" s="734"/>
      <c r="CV8" s="734"/>
      <c r="CW8" s="734"/>
      <c r="CX8" s="734"/>
      <c r="CY8" s="734">
        <f>SUM(CY9:CY20)</f>
        <v>1</v>
      </c>
      <c r="CZ8" s="734"/>
      <c r="DA8" s="734"/>
      <c r="DB8" s="734"/>
      <c r="DC8" s="735"/>
      <c r="DG8" s="1016"/>
      <c r="DH8" s="1016"/>
      <c r="DI8" s="1016"/>
      <c r="DJ8" s="1016"/>
      <c r="DK8" s="1016"/>
      <c r="DL8" s="1016"/>
      <c r="DM8" s="1017"/>
      <c r="DN8" s="1017"/>
      <c r="DO8" s="1017"/>
      <c r="DP8" s="1017"/>
      <c r="DQ8" s="1017"/>
      <c r="DR8" s="1017"/>
      <c r="DS8" s="1017"/>
      <c r="DT8" s="1017"/>
      <c r="DU8" s="1017"/>
      <c r="DV8" s="1017"/>
      <c r="DW8" s="1017"/>
      <c r="DX8" s="1017"/>
      <c r="DY8" s="1017"/>
      <c r="DZ8" s="1017"/>
      <c r="EA8" s="1017"/>
      <c r="EB8" s="1017"/>
      <c r="EC8" s="1017"/>
      <c r="ED8" s="1017"/>
      <c r="EE8" s="1017"/>
      <c r="EF8" s="1017"/>
      <c r="EG8" s="1017"/>
      <c r="EH8" s="1017"/>
      <c r="EI8" s="1017"/>
      <c r="EJ8" s="1017"/>
      <c r="EK8" s="1017"/>
      <c r="EL8" s="1017"/>
      <c r="EM8" s="1017"/>
      <c r="EN8" s="1017"/>
      <c r="EO8" s="1017"/>
      <c r="EP8" s="1017"/>
      <c r="EQ8" s="1017"/>
      <c r="ER8" s="1017"/>
      <c r="ES8" s="1017"/>
      <c r="ET8" s="1017"/>
      <c r="EU8" s="1017"/>
      <c r="EV8" s="1017"/>
      <c r="EW8" s="1017"/>
      <c r="EX8" s="1017"/>
      <c r="EY8" s="1017"/>
      <c r="EZ8" s="1017"/>
      <c r="FA8" s="1017"/>
      <c r="FB8" s="1017"/>
      <c r="FC8" s="1017"/>
      <c r="FD8" s="1017"/>
      <c r="FE8" s="1017"/>
    </row>
    <row r="9" spans="1:161" ht="21" customHeight="1">
      <c r="A9" s="553" t="s">
        <v>86</v>
      </c>
      <c r="B9" s="727"/>
      <c r="C9" s="727"/>
      <c r="D9" s="727"/>
      <c r="E9" s="727"/>
      <c r="F9" s="727"/>
      <c r="G9" s="1018">
        <v>48</v>
      </c>
      <c r="H9" s="1019"/>
      <c r="I9" s="1019"/>
      <c r="J9" s="1019"/>
      <c r="K9" s="1020"/>
      <c r="L9" s="275">
        <v>10</v>
      </c>
      <c r="M9" s="275"/>
      <c r="N9" s="275"/>
      <c r="O9" s="275"/>
      <c r="P9" s="275"/>
      <c r="Q9" s="275">
        <v>40</v>
      </c>
      <c r="R9" s="275"/>
      <c r="S9" s="275"/>
      <c r="T9" s="275"/>
      <c r="U9" s="275"/>
      <c r="V9" s="275">
        <v>25</v>
      </c>
      <c r="W9" s="275"/>
      <c r="X9" s="275"/>
      <c r="Y9" s="275"/>
      <c r="Z9" s="275"/>
      <c r="AA9" s="275">
        <v>10</v>
      </c>
      <c r="AB9" s="275"/>
      <c r="AC9" s="275"/>
      <c r="AD9" s="275"/>
      <c r="AE9" s="275"/>
      <c r="AF9" s="275">
        <v>17</v>
      </c>
      <c r="AG9" s="275"/>
      <c r="AH9" s="275"/>
      <c r="AI9" s="275"/>
      <c r="AJ9" s="275"/>
      <c r="AK9" s="275">
        <v>2</v>
      </c>
      <c r="AL9" s="275"/>
      <c r="AM9" s="275"/>
      <c r="AN9" s="275"/>
      <c r="AO9" s="275"/>
      <c r="AP9" s="275">
        <v>22</v>
      </c>
      <c r="AQ9" s="275"/>
      <c r="AR9" s="275"/>
      <c r="AS9" s="275"/>
      <c r="AT9" s="275"/>
      <c r="AU9" s="275">
        <v>30</v>
      </c>
      <c r="AV9" s="275"/>
      <c r="AW9" s="275"/>
      <c r="AX9" s="275"/>
      <c r="AY9" s="1015"/>
      <c r="AZ9" s="894"/>
      <c r="BA9" s="894"/>
      <c r="BB9" s="30"/>
      <c r="BC9" s="30"/>
      <c r="BD9" s="83"/>
      <c r="BE9" s="553" t="s">
        <v>86</v>
      </c>
      <c r="BF9" s="727"/>
      <c r="BG9" s="727"/>
      <c r="BH9" s="727"/>
      <c r="BI9" s="727"/>
      <c r="BJ9" s="727"/>
      <c r="BK9" s="1021">
        <v>122</v>
      </c>
      <c r="BL9" s="1022"/>
      <c r="BM9" s="1022"/>
      <c r="BN9" s="1022"/>
      <c r="BO9" s="1023"/>
      <c r="BP9" s="734">
        <v>21</v>
      </c>
      <c r="BQ9" s="734"/>
      <c r="BR9" s="734"/>
      <c r="BS9" s="734"/>
      <c r="BT9" s="734"/>
      <c r="BU9" s="734">
        <v>7</v>
      </c>
      <c r="BV9" s="734"/>
      <c r="BW9" s="734"/>
      <c r="BX9" s="734"/>
      <c r="BY9" s="734"/>
      <c r="BZ9" s="734">
        <v>1</v>
      </c>
      <c r="CA9" s="734"/>
      <c r="CB9" s="734"/>
      <c r="CC9" s="734"/>
      <c r="CD9" s="734"/>
      <c r="CE9" s="1024">
        <v>0</v>
      </c>
      <c r="CF9" s="734"/>
      <c r="CG9" s="734"/>
      <c r="CH9" s="734"/>
      <c r="CI9" s="734"/>
      <c r="CJ9" s="734">
        <v>1</v>
      </c>
      <c r="CK9" s="734"/>
      <c r="CL9" s="734"/>
      <c r="CM9" s="734"/>
      <c r="CN9" s="734"/>
      <c r="CO9" s="734">
        <v>0</v>
      </c>
      <c r="CP9" s="734"/>
      <c r="CQ9" s="734"/>
      <c r="CR9" s="734"/>
      <c r="CS9" s="734"/>
      <c r="CT9" s="734">
        <v>0</v>
      </c>
      <c r="CU9" s="734"/>
      <c r="CV9" s="734"/>
      <c r="CW9" s="734"/>
      <c r="CX9" s="734"/>
      <c r="CY9" s="734">
        <v>0</v>
      </c>
      <c r="CZ9" s="734"/>
      <c r="DA9" s="734"/>
      <c r="DB9" s="734"/>
      <c r="DC9" s="735"/>
      <c r="DG9" s="83"/>
      <c r="DH9" s="83"/>
      <c r="DI9" s="83"/>
      <c r="DJ9" s="83"/>
      <c r="DK9" s="83"/>
      <c r="DL9" s="83"/>
      <c r="DM9" s="862"/>
      <c r="DN9" s="862"/>
      <c r="DO9" s="862"/>
      <c r="DP9" s="862"/>
      <c r="DQ9" s="862"/>
      <c r="DR9" s="862"/>
      <c r="DS9" s="862"/>
      <c r="DT9" s="862"/>
      <c r="DU9" s="862"/>
      <c r="DV9" s="862"/>
      <c r="DW9" s="862"/>
      <c r="DX9" s="862"/>
      <c r="DY9" s="862"/>
      <c r="DZ9" s="862"/>
      <c r="EA9" s="862"/>
      <c r="EB9" s="862"/>
      <c r="EC9" s="862"/>
      <c r="ED9" s="862"/>
      <c r="EE9" s="862"/>
      <c r="EF9" s="862"/>
      <c r="EG9" s="862"/>
      <c r="EH9" s="862"/>
      <c r="EI9" s="862"/>
      <c r="EJ9" s="862"/>
      <c r="EK9" s="862"/>
      <c r="EL9" s="862"/>
      <c r="EM9" s="862"/>
      <c r="EN9" s="862"/>
      <c r="EO9" s="862"/>
      <c r="EP9" s="862"/>
      <c r="EQ9" s="862"/>
      <c r="ER9" s="862"/>
      <c r="ES9" s="862"/>
      <c r="ET9" s="862"/>
      <c r="EU9" s="862"/>
      <c r="EV9" s="862"/>
      <c r="EW9" s="862"/>
      <c r="EX9" s="862"/>
      <c r="EY9" s="862"/>
      <c r="EZ9" s="862"/>
      <c r="FA9" s="862"/>
      <c r="FB9" s="862"/>
      <c r="FC9" s="862"/>
      <c r="FD9" s="862"/>
      <c r="FE9" s="862"/>
    </row>
    <row r="10" spans="1:161" ht="21" customHeight="1">
      <c r="A10" s="553" t="s">
        <v>69</v>
      </c>
      <c r="B10" s="727"/>
      <c r="C10" s="727"/>
      <c r="D10" s="727"/>
      <c r="E10" s="727"/>
      <c r="F10" s="727"/>
      <c r="G10" s="1025">
        <v>60</v>
      </c>
      <c r="H10" s="1026"/>
      <c r="I10" s="1026"/>
      <c r="J10" s="1026"/>
      <c r="K10" s="1027"/>
      <c r="L10" s="275">
        <v>3</v>
      </c>
      <c r="M10" s="275"/>
      <c r="N10" s="275"/>
      <c r="O10" s="275"/>
      <c r="P10" s="275"/>
      <c r="Q10" s="275">
        <v>57</v>
      </c>
      <c r="R10" s="275"/>
      <c r="S10" s="275"/>
      <c r="T10" s="275"/>
      <c r="U10" s="275"/>
      <c r="V10" s="275">
        <v>22</v>
      </c>
      <c r="W10" s="275"/>
      <c r="X10" s="275"/>
      <c r="Y10" s="275"/>
      <c r="Z10" s="275"/>
      <c r="AA10" s="275">
        <v>14</v>
      </c>
      <c r="AB10" s="275"/>
      <c r="AC10" s="275"/>
      <c r="AD10" s="275"/>
      <c r="AE10" s="275"/>
      <c r="AF10" s="275">
        <v>22</v>
      </c>
      <c r="AG10" s="275"/>
      <c r="AH10" s="275"/>
      <c r="AI10" s="275"/>
      <c r="AJ10" s="275"/>
      <c r="AK10" s="275">
        <v>15</v>
      </c>
      <c r="AL10" s="275"/>
      <c r="AM10" s="275"/>
      <c r="AN10" s="275"/>
      <c r="AO10" s="275"/>
      <c r="AP10" s="275">
        <v>26</v>
      </c>
      <c r="AQ10" s="275"/>
      <c r="AR10" s="275"/>
      <c r="AS10" s="275"/>
      <c r="AT10" s="275"/>
      <c r="AU10" s="275">
        <v>30</v>
      </c>
      <c r="AV10" s="275"/>
      <c r="AW10" s="275"/>
      <c r="AX10" s="275"/>
      <c r="AY10" s="1015"/>
      <c r="AZ10" s="894"/>
      <c r="BA10" s="894"/>
      <c r="BB10" s="30"/>
      <c r="BC10" s="30"/>
      <c r="BD10" s="83"/>
      <c r="BE10" s="553" t="s">
        <v>69</v>
      </c>
      <c r="BF10" s="727"/>
      <c r="BG10" s="727"/>
      <c r="BH10" s="727"/>
      <c r="BI10" s="727"/>
      <c r="BJ10" s="727"/>
      <c r="BK10" s="1021">
        <v>146</v>
      </c>
      <c r="BL10" s="1022"/>
      <c r="BM10" s="1022"/>
      <c r="BN10" s="1022"/>
      <c r="BO10" s="1023"/>
      <c r="BP10" s="734">
        <v>9</v>
      </c>
      <c r="BQ10" s="734"/>
      <c r="BR10" s="734"/>
      <c r="BS10" s="734"/>
      <c r="BT10" s="734"/>
      <c r="BU10" s="734">
        <v>2</v>
      </c>
      <c r="BV10" s="734"/>
      <c r="BW10" s="734"/>
      <c r="BX10" s="734"/>
      <c r="BY10" s="734"/>
      <c r="BZ10" s="734">
        <v>3</v>
      </c>
      <c r="CA10" s="734"/>
      <c r="CB10" s="734"/>
      <c r="CC10" s="734"/>
      <c r="CD10" s="734"/>
      <c r="CE10" s="734">
        <v>0</v>
      </c>
      <c r="CF10" s="734"/>
      <c r="CG10" s="734"/>
      <c r="CH10" s="734"/>
      <c r="CI10" s="734"/>
      <c r="CJ10" s="734">
        <v>0</v>
      </c>
      <c r="CK10" s="734"/>
      <c r="CL10" s="734"/>
      <c r="CM10" s="734"/>
      <c r="CN10" s="734"/>
      <c r="CO10" s="1028">
        <v>0</v>
      </c>
      <c r="CP10" s="1029"/>
      <c r="CQ10" s="1029"/>
      <c r="CR10" s="1029"/>
      <c r="CS10" s="1030"/>
      <c r="CT10" s="734">
        <v>0</v>
      </c>
      <c r="CU10" s="734"/>
      <c r="CV10" s="734"/>
      <c r="CW10" s="734"/>
      <c r="CX10" s="734"/>
      <c r="CY10" s="734">
        <v>0</v>
      </c>
      <c r="CZ10" s="734"/>
      <c r="DA10" s="734"/>
      <c r="DB10" s="734"/>
      <c r="DC10" s="735"/>
      <c r="DG10" s="83"/>
      <c r="DH10" s="83"/>
      <c r="DI10" s="83"/>
      <c r="DJ10" s="83"/>
      <c r="DK10" s="83"/>
      <c r="DL10" s="83"/>
      <c r="DM10" s="862"/>
      <c r="DN10" s="862"/>
      <c r="DO10" s="862"/>
      <c r="DP10" s="862"/>
      <c r="DQ10" s="862"/>
      <c r="DR10" s="862"/>
      <c r="DS10" s="862"/>
      <c r="DT10" s="862"/>
      <c r="DU10" s="862"/>
      <c r="DV10" s="862"/>
      <c r="DW10" s="862"/>
      <c r="DX10" s="862"/>
      <c r="DY10" s="862"/>
      <c r="DZ10" s="862"/>
      <c r="EA10" s="862"/>
      <c r="EB10" s="862"/>
      <c r="EC10" s="862"/>
      <c r="ED10" s="862"/>
      <c r="EE10" s="862"/>
      <c r="EF10" s="862"/>
      <c r="EG10" s="862"/>
      <c r="EH10" s="862"/>
      <c r="EI10" s="862"/>
      <c r="EJ10" s="862"/>
      <c r="EK10" s="862"/>
      <c r="EL10" s="862"/>
      <c r="EM10" s="862"/>
      <c r="EN10" s="862"/>
      <c r="EO10" s="862"/>
      <c r="EP10" s="862"/>
      <c r="EQ10" s="976"/>
      <c r="ER10" s="976"/>
      <c r="ES10" s="976"/>
      <c r="ET10" s="976"/>
      <c r="EU10" s="976"/>
      <c r="EV10" s="862"/>
      <c r="EW10" s="862"/>
      <c r="EX10" s="862"/>
      <c r="EY10" s="862"/>
      <c r="EZ10" s="862"/>
      <c r="FA10" s="862"/>
      <c r="FB10" s="862"/>
      <c r="FC10" s="862"/>
      <c r="FD10" s="862"/>
      <c r="FE10" s="862"/>
    </row>
    <row r="11" spans="1:161" ht="21" customHeight="1">
      <c r="A11" s="553" t="s">
        <v>222</v>
      </c>
      <c r="B11" s="727"/>
      <c r="C11" s="727"/>
      <c r="D11" s="727"/>
      <c r="E11" s="727"/>
      <c r="F11" s="727"/>
      <c r="G11" s="1025">
        <v>34</v>
      </c>
      <c r="H11" s="1026"/>
      <c r="I11" s="1026"/>
      <c r="J11" s="1026"/>
      <c r="K11" s="1027"/>
      <c r="L11" s="275">
        <v>2</v>
      </c>
      <c r="M11" s="275"/>
      <c r="N11" s="275"/>
      <c r="O11" s="275"/>
      <c r="P11" s="275"/>
      <c r="Q11" s="275">
        <v>33</v>
      </c>
      <c r="R11" s="275"/>
      <c r="S11" s="275"/>
      <c r="T11" s="275"/>
      <c r="U11" s="275"/>
      <c r="V11" s="275">
        <v>19</v>
      </c>
      <c r="W11" s="275"/>
      <c r="X11" s="275"/>
      <c r="Y11" s="275"/>
      <c r="Z11" s="275"/>
      <c r="AA11" s="275">
        <v>9</v>
      </c>
      <c r="AB11" s="275"/>
      <c r="AC11" s="275"/>
      <c r="AD11" s="275"/>
      <c r="AE11" s="275"/>
      <c r="AF11" s="275">
        <v>11</v>
      </c>
      <c r="AG11" s="275"/>
      <c r="AH11" s="275"/>
      <c r="AI11" s="275"/>
      <c r="AJ11" s="275"/>
      <c r="AK11" s="275">
        <v>8</v>
      </c>
      <c r="AL11" s="275"/>
      <c r="AM11" s="275"/>
      <c r="AN11" s="275"/>
      <c r="AO11" s="275"/>
      <c r="AP11" s="275">
        <v>8</v>
      </c>
      <c r="AQ11" s="275"/>
      <c r="AR11" s="275"/>
      <c r="AS11" s="275"/>
      <c r="AT11" s="275"/>
      <c r="AU11" s="275">
        <v>3</v>
      </c>
      <c r="AV11" s="275"/>
      <c r="AW11" s="275"/>
      <c r="AX11" s="275"/>
      <c r="AY11" s="1015"/>
      <c r="AZ11" s="894"/>
      <c r="BA11" s="894"/>
      <c r="BB11" s="30"/>
      <c r="BC11" s="30"/>
      <c r="BD11" s="83"/>
      <c r="BE11" s="553" t="s">
        <v>222</v>
      </c>
      <c r="BF11" s="727"/>
      <c r="BG11" s="727"/>
      <c r="BH11" s="727"/>
      <c r="BI11" s="727"/>
      <c r="BJ11" s="727"/>
      <c r="BK11" s="1021">
        <v>130</v>
      </c>
      <c r="BL11" s="1022"/>
      <c r="BM11" s="1022"/>
      <c r="BN11" s="1022"/>
      <c r="BO11" s="1023"/>
      <c r="BP11" s="734">
        <v>8</v>
      </c>
      <c r="BQ11" s="734"/>
      <c r="BR11" s="734"/>
      <c r="BS11" s="734"/>
      <c r="BT11" s="734"/>
      <c r="BU11" s="734">
        <v>3</v>
      </c>
      <c r="BV11" s="734"/>
      <c r="BW11" s="734"/>
      <c r="BX11" s="734"/>
      <c r="BY11" s="734"/>
      <c r="BZ11" s="1024">
        <v>1</v>
      </c>
      <c r="CA11" s="734"/>
      <c r="CB11" s="734"/>
      <c r="CC11" s="734"/>
      <c r="CD11" s="734"/>
      <c r="CE11" s="734">
        <v>0</v>
      </c>
      <c r="CF11" s="734"/>
      <c r="CG11" s="734"/>
      <c r="CH11" s="734"/>
      <c r="CI11" s="734"/>
      <c r="CJ11" s="734">
        <v>0</v>
      </c>
      <c r="CK11" s="734"/>
      <c r="CL11" s="734"/>
      <c r="CM11" s="734"/>
      <c r="CN11" s="734"/>
      <c r="CO11" s="734">
        <v>0</v>
      </c>
      <c r="CP11" s="734"/>
      <c r="CQ11" s="734"/>
      <c r="CR11" s="734"/>
      <c r="CS11" s="734"/>
      <c r="CT11" s="734">
        <v>0</v>
      </c>
      <c r="CU11" s="734"/>
      <c r="CV11" s="734"/>
      <c r="CW11" s="734"/>
      <c r="CX11" s="734"/>
      <c r="CY11" s="734">
        <v>0</v>
      </c>
      <c r="CZ11" s="734"/>
      <c r="DA11" s="734"/>
      <c r="DB11" s="734"/>
      <c r="DC11" s="735"/>
      <c r="DG11" s="83"/>
      <c r="DH11" s="83"/>
      <c r="DI11" s="83"/>
      <c r="DJ11" s="83"/>
      <c r="DK11" s="83"/>
      <c r="DL11" s="83"/>
      <c r="DM11" s="862"/>
      <c r="DN11" s="862"/>
      <c r="DO11" s="862"/>
      <c r="DP11" s="862"/>
      <c r="DQ11" s="862"/>
      <c r="DR11" s="862"/>
      <c r="DS11" s="862"/>
      <c r="DT11" s="862"/>
      <c r="DU11" s="862"/>
      <c r="DV11" s="862"/>
      <c r="DW11" s="862"/>
      <c r="DX11" s="862"/>
      <c r="DY11" s="862"/>
      <c r="DZ11" s="862"/>
      <c r="EA11" s="862"/>
      <c r="EB11" s="862"/>
      <c r="EC11" s="862"/>
      <c r="ED11" s="862"/>
      <c r="EE11" s="862"/>
      <c r="EF11" s="862"/>
      <c r="EG11" s="862"/>
      <c r="EH11" s="862"/>
      <c r="EI11" s="862"/>
      <c r="EJ11" s="862"/>
      <c r="EK11" s="862"/>
      <c r="EL11" s="862"/>
      <c r="EM11" s="862"/>
      <c r="EN11" s="862"/>
      <c r="EO11" s="862"/>
      <c r="EP11" s="862"/>
      <c r="EQ11" s="862"/>
      <c r="ER11" s="862"/>
      <c r="ES11" s="862"/>
      <c r="ET11" s="862"/>
      <c r="EU11" s="862"/>
      <c r="EV11" s="862"/>
      <c r="EW11" s="862"/>
      <c r="EX11" s="862"/>
      <c r="EY11" s="862"/>
      <c r="EZ11" s="862"/>
      <c r="FA11" s="862"/>
      <c r="FB11" s="862"/>
      <c r="FC11" s="862"/>
      <c r="FD11" s="862"/>
      <c r="FE11" s="862"/>
    </row>
    <row r="12" spans="1:161" ht="21" customHeight="1">
      <c r="A12" s="553" t="s">
        <v>223</v>
      </c>
      <c r="B12" s="727"/>
      <c r="C12" s="727"/>
      <c r="D12" s="727"/>
      <c r="E12" s="727"/>
      <c r="F12" s="727"/>
      <c r="G12" s="1025">
        <v>12</v>
      </c>
      <c r="H12" s="1026"/>
      <c r="I12" s="1026"/>
      <c r="J12" s="1026"/>
      <c r="K12" s="1027"/>
      <c r="L12" s="275">
        <v>1</v>
      </c>
      <c r="M12" s="275"/>
      <c r="N12" s="275"/>
      <c r="O12" s="275"/>
      <c r="P12" s="275"/>
      <c r="Q12" s="275">
        <v>11</v>
      </c>
      <c r="R12" s="275"/>
      <c r="S12" s="275"/>
      <c r="T12" s="275"/>
      <c r="U12" s="275"/>
      <c r="V12" s="275">
        <v>5</v>
      </c>
      <c r="W12" s="275"/>
      <c r="X12" s="275"/>
      <c r="Y12" s="275"/>
      <c r="Z12" s="275"/>
      <c r="AA12" s="275">
        <v>1</v>
      </c>
      <c r="AB12" s="275"/>
      <c r="AC12" s="275"/>
      <c r="AD12" s="275"/>
      <c r="AE12" s="275"/>
      <c r="AF12" s="275">
        <v>3</v>
      </c>
      <c r="AG12" s="275"/>
      <c r="AH12" s="275"/>
      <c r="AI12" s="275"/>
      <c r="AJ12" s="275"/>
      <c r="AK12" s="275">
        <v>7</v>
      </c>
      <c r="AL12" s="275"/>
      <c r="AM12" s="275"/>
      <c r="AN12" s="275"/>
      <c r="AO12" s="275"/>
      <c r="AP12" s="275">
        <v>1</v>
      </c>
      <c r="AQ12" s="275"/>
      <c r="AR12" s="275"/>
      <c r="AS12" s="275"/>
      <c r="AT12" s="275"/>
      <c r="AU12" s="275">
        <v>1</v>
      </c>
      <c r="AV12" s="275"/>
      <c r="AW12" s="275"/>
      <c r="AX12" s="275"/>
      <c r="AY12" s="1015"/>
      <c r="AZ12" s="894"/>
      <c r="BA12" s="894"/>
      <c r="BB12" s="30"/>
      <c r="BC12" s="30"/>
      <c r="BD12" s="83"/>
      <c r="BE12" s="553" t="s">
        <v>223</v>
      </c>
      <c r="BF12" s="727"/>
      <c r="BG12" s="727"/>
      <c r="BH12" s="727"/>
      <c r="BI12" s="727"/>
      <c r="BJ12" s="727"/>
      <c r="BK12" s="1021">
        <v>39</v>
      </c>
      <c r="BL12" s="1022"/>
      <c r="BM12" s="1022"/>
      <c r="BN12" s="1022"/>
      <c r="BO12" s="1023"/>
      <c r="BP12" s="734">
        <v>3</v>
      </c>
      <c r="BQ12" s="734"/>
      <c r="BR12" s="734"/>
      <c r="BS12" s="734"/>
      <c r="BT12" s="734"/>
      <c r="BU12" s="734">
        <v>0</v>
      </c>
      <c r="BV12" s="734"/>
      <c r="BW12" s="734"/>
      <c r="BX12" s="734"/>
      <c r="BY12" s="734"/>
      <c r="BZ12" s="734">
        <v>0</v>
      </c>
      <c r="CA12" s="734"/>
      <c r="CB12" s="734"/>
      <c r="CC12" s="734"/>
      <c r="CD12" s="734"/>
      <c r="CE12" s="734">
        <v>0</v>
      </c>
      <c r="CF12" s="734"/>
      <c r="CG12" s="734"/>
      <c r="CH12" s="734"/>
      <c r="CI12" s="734"/>
      <c r="CJ12" s="734">
        <v>0</v>
      </c>
      <c r="CK12" s="734"/>
      <c r="CL12" s="734"/>
      <c r="CM12" s="734"/>
      <c r="CN12" s="734"/>
      <c r="CO12" s="734">
        <v>0</v>
      </c>
      <c r="CP12" s="734"/>
      <c r="CQ12" s="734"/>
      <c r="CR12" s="734"/>
      <c r="CS12" s="734"/>
      <c r="CT12" s="734">
        <v>0</v>
      </c>
      <c r="CU12" s="734"/>
      <c r="CV12" s="734"/>
      <c r="CW12" s="734"/>
      <c r="CX12" s="734"/>
      <c r="CY12" s="734">
        <v>0</v>
      </c>
      <c r="CZ12" s="734"/>
      <c r="DA12" s="734"/>
      <c r="DB12" s="734"/>
      <c r="DC12" s="735"/>
      <c r="DG12" s="83"/>
      <c r="DH12" s="83"/>
      <c r="DI12" s="83"/>
      <c r="DJ12" s="83"/>
      <c r="DK12" s="83"/>
      <c r="DL12" s="83"/>
      <c r="DM12" s="862"/>
      <c r="DN12" s="862"/>
      <c r="DO12" s="862"/>
      <c r="DP12" s="862"/>
      <c r="DQ12" s="862"/>
      <c r="DR12" s="862"/>
      <c r="DS12" s="862"/>
      <c r="DT12" s="862"/>
      <c r="DU12" s="862"/>
      <c r="DV12" s="862"/>
      <c r="DW12" s="862"/>
      <c r="DX12" s="862"/>
      <c r="DY12" s="862"/>
      <c r="DZ12" s="862"/>
      <c r="EA12" s="862"/>
      <c r="EB12" s="862"/>
      <c r="EC12" s="862"/>
      <c r="ED12" s="862"/>
      <c r="EE12" s="862"/>
      <c r="EF12" s="862"/>
      <c r="EG12" s="862"/>
      <c r="EH12" s="862"/>
      <c r="EI12" s="862"/>
      <c r="EJ12" s="862"/>
      <c r="EK12" s="862"/>
      <c r="EL12" s="862"/>
      <c r="EM12" s="862"/>
      <c r="EN12" s="862"/>
      <c r="EO12" s="862"/>
      <c r="EP12" s="862"/>
      <c r="EQ12" s="862"/>
      <c r="ER12" s="862"/>
      <c r="ES12" s="862"/>
      <c r="ET12" s="862"/>
      <c r="EU12" s="862"/>
      <c r="EV12" s="862"/>
      <c r="EW12" s="862"/>
      <c r="EX12" s="862"/>
      <c r="EY12" s="862"/>
      <c r="EZ12" s="862"/>
      <c r="FA12" s="862"/>
      <c r="FB12" s="862"/>
      <c r="FC12" s="862"/>
      <c r="FD12" s="862"/>
      <c r="FE12" s="862"/>
    </row>
    <row r="13" spans="1:161" ht="21" customHeight="1">
      <c r="A13" s="553" t="s">
        <v>224</v>
      </c>
      <c r="B13" s="727"/>
      <c r="C13" s="727"/>
      <c r="D13" s="727"/>
      <c r="E13" s="727"/>
      <c r="F13" s="727"/>
      <c r="G13" s="1025">
        <v>7</v>
      </c>
      <c r="H13" s="1026"/>
      <c r="I13" s="1026"/>
      <c r="J13" s="1026"/>
      <c r="K13" s="1027"/>
      <c r="L13" s="275">
        <v>1</v>
      </c>
      <c r="M13" s="275"/>
      <c r="N13" s="275"/>
      <c r="O13" s="275"/>
      <c r="P13" s="275"/>
      <c r="Q13" s="275">
        <v>6</v>
      </c>
      <c r="R13" s="275"/>
      <c r="S13" s="275"/>
      <c r="T13" s="275"/>
      <c r="U13" s="275"/>
      <c r="V13" s="275">
        <v>4</v>
      </c>
      <c r="W13" s="275"/>
      <c r="X13" s="275"/>
      <c r="Y13" s="275"/>
      <c r="Z13" s="275"/>
      <c r="AA13" s="275">
        <v>1</v>
      </c>
      <c r="AB13" s="275"/>
      <c r="AC13" s="275"/>
      <c r="AD13" s="275"/>
      <c r="AE13" s="275"/>
      <c r="AF13" s="275">
        <v>3</v>
      </c>
      <c r="AG13" s="275"/>
      <c r="AH13" s="275"/>
      <c r="AI13" s="275"/>
      <c r="AJ13" s="275"/>
      <c r="AK13" s="275">
        <v>2</v>
      </c>
      <c r="AL13" s="275"/>
      <c r="AM13" s="275"/>
      <c r="AN13" s="275"/>
      <c r="AO13" s="275"/>
      <c r="AP13" s="275">
        <v>1</v>
      </c>
      <c r="AQ13" s="275"/>
      <c r="AR13" s="275"/>
      <c r="AS13" s="275"/>
      <c r="AT13" s="275"/>
      <c r="AU13" s="275">
        <v>1</v>
      </c>
      <c r="AV13" s="275"/>
      <c r="AW13" s="275"/>
      <c r="AX13" s="275"/>
      <c r="AY13" s="1015"/>
      <c r="AZ13" s="894"/>
      <c r="BA13" s="894"/>
      <c r="BB13" s="30"/>
      <c r="BC13" s="30"/>
      <c r="BD13" s="83"/>
      <c r="BE13" s="553" t="s">
        <v>224</v>
      </c>
      <c r="BF13" s="727"/>
      <c r="BG13" s="727"/>
      <c r="BH13" s="727"/>
      <c r="BI13" s="727"/>
      <c r="BJ13" s="727"/>
      <c r="BK13" s="1021">
        <v>32</v>
      </c>
      <c r="BL13" s="1022"/>
      <c r="BM13" s="1022"/>
      <c r="BN13" s="1022"/>
      <c r="BO13" s="1023"/>
      <c r="BP13" s="1028">
        <v>1</v>
      </c>
      <c r="BQ13" s="1029"/>
      <c r="BR13" s="1029"/>
      <c r="BS13" s="1029"/>
      <c r="BT13" s="1030"/>
      <c r="BU13" s="734">
        <v>0</v>
      </c>
      <c r="BV13" s="734"/>
      <c r="BW13" s="734"/>
      <c r="BX13" s="734"/>
      <c r="BY13" s="734"/>
      <c r="BZ13" s="1028">
        <v>0</v>
      </c>
      <c r="CA13" s="1029"/>
      <c r="CB13" s="1029"/>
      <c r="CC13" s="1029"/>
      <c r="CD13" s="1030"/>
      <c r="CE13" s="734">
        <v>0</v>
      </c>
      <c r="CF13" s="734"/>
      <c r="CG13" s="734"/>
      <c r="CH13" s="734"/>
      <c r="CI13" s="734"/>
      <c r="CJ13" s="734">
        <v>0</v>
      </c>
      <c r="CK13" s="734"/>
      <c r="CL13" s="734"/>
      <c r="CM13" s="734"/>
      <c r="CN13" s="734"/>
      <c r="CO13" s="1028">
        <v>0</v>
      </c>
      <c r="CP13" s="1029"/>
      <c r="CQ13" s="1029"/>
      <c r="CR13" s="1029"/>
      <c r="CS13" s="1030"/>
      <c r="CT13" s="734">
        <v>0</v>
      </c>
      <c r="CU13" s="734"/>
      <c r="CV13" s="734"/>
      <c r="CW13" s="734"/>
      <c r="CX13" s="734"/>
      <c r="CY13" s="734">
        <v>0</v>
      </c>
      <c r="CZ13" s="734"/>
      <c r="DA13" s="734"/>
      <c r="DB13" s="734"/>
      <c r="DC13" s="735"/>
      <c r="DG13" s="83"/>
      <c r="DH13" s="83"/>
      <c r="DI13" s="83"/>
      <c r="DJ13" s="83"/>
      <c r="DK13" s="83"/>
      <c r="DL13" s="83"/>
      <c r="DM13" s="862"/>
      <c r="DN13" s="862"/>
      <c r="DO13" s="862"/>
      <c r="DP13" s="862"/>
      <c r="DQ13" s="862"/>
      <c r="DR13" s="976"/>
      <c r="DS13" s="976"/>
      <c r="DT13" s="976"/>
      <c r="DU13" s="976"/>
      <c r="DV13" s="976"/>
      <c r="DW13" s="862"/>
      <c r="DX13" s="862"/>
      <c r="DY13" s="862"/>
      <c r="DZ13" s="862"/>
      <c r="EA13" s="862"/>
      <c r="EB13" s="976"/>
      <c r="EC13" s="976"/>
      <c r="ED13" s="976"/>
      <c r="EE13" s="976"/>
      <c r="EF13" s="976"/>
      <c r="EG13" s="862"/>
      <c r="EH13" s="862"/>
      <c r="EI13" s="862"/>
      <c r="EJ13" s="862"/>
      <c r="EK13" s="862"/>
      <c r="EL13" s="862"/>
      <c r="EM13" s="862"/>
      <c r="EN13" s="862"/>
      <c r="EO13" s="862"/>
      <c r="EP13" s="862"/>
      <c r="EQ13" s="976"/>
      <c r="ER13" s="976"/>
      <c r="ES13" s="976"/>
      <c r="ET13" s="976"/>
      <c r="EU13" s="976"/>
      <c r="EV13" s="862"/>
      <c r="EW13" s="862"/>
      <c r="EX13" s="862"/>
      <c r="EY13" s="862"/>
      <c r="EZ13" s="862"/>
      <c r="FA13" s="862"/>
      <c r="FB13" s="862"/>
      <c r="FC13" s="862"/>
      <c r="FD13" s="862"/>
      <c r="FE13" s="862"/>
    </row>
    <row r="14" spans="1:161" ht="21" customHeight="1">
      <c r="A14" s="553" t="s">
        <v>225</v>
      </c>
      <c r="B14" s="727"/>
      <c r="C14" s="727"/>
      <c r="D14" s="727"/>
      <c r="E14" s="727"/>
      <c r="F14" s="727"/>
      <c r="G14" s="1025">
        <v>164</v>
      </c>
      <c r="H14" s="1026"/>
      <c r="I14" s="1026"/>
      <c r="J14" s="1026"/>
      <c r="K14" s="1027"/>
      <c r="L14" s="275">
        <v>8</v>
      </c>
      <c r="M14" s="275"/>
      <c r="N14" s="275"/>
      <c r="O14" s="275"/>
      <c r="P14" s="275"/>
      <c r="Q14" s="275">
        <v>156</v>
      </c>
      <c r="R14" s="275"/>
      <c r="S14" s="275"/>
      <c r="T14" s="275"/>
      <c r="U14" s="275"/>
      <c r="V14" s="275">
        <v>81</v>
      </c>
      <c r="W14" s="275"/>
      <c r="X14" s="275"/>
      <c r="Y14" s="275"/>
      <c r="Z14" s="275"/>
      <c r="AA14" s="275">
        <v>35</v>
      </c>
      <c r="AB14" s="275"/>
      <c r="AC14" s="275"/>
      <c r="AD14" s="275"/>
      <c r="AE14" s="275"/>
      <c r="AF14" s="275">
        <v>70</v>
      </c>
      <c r="AG14" s="275"/>
      <c r="AH14" s="275"/>
      <c r="AI14" s="275"/>
      <c r="AJ14" s="275"/>
      <c r="AK14" s="275">
        <v>31</v>
      </c>
      <c r="AL14" s="275"/>
      <c r="AM14" s="275"/>
      <c r="AN14" s="275"/>
      <c r="AO14" s="275"/>
      <c r="AP14" s="275">
        <v>74</v>
      </c>
      <c r="AQ14" s="275"/>
      <c r="AR14" s="275"/>
      <c r="AS14" s="275"/>
      <c r="AT14" s="275"/>
      <c r="AU14" s="275">
        <v>52</v>
      </c>
      <c r="AV14" s="275"/>
      <c r="AW14" s="275"/>
      <c r="AX14" s="275"/>
      <c r="AY14" s="1015"/>
      <c r="AZ14" s="894"/>
      <c r="BA14" s="894"/>
      <c r="BB14" s="30"/>
      <c r="BC14" s="30"/>
      <c r="BD14" s="83"/>
      <c r="BE14" s="553" t="s">
        <v>225</v>
      </c>
      <c r="BF14" s="727"/>
      <c r="BG14" s="727"/>
      <c r="BH14" s="727"/>
      <c r="BI14" s="727"/>
      <c r="BJ14" s="727"/>
      <c r="BK14" s="1021">
        <v>418</v>
      </c>
      <c r="BL14" s="1022"/>
      <c r="BM14" s="1022"/>
      <c r="BN14" s="1022"/>
      <c r="BO14" s="1023"/>
      <c r="BP14" s="734">
        <v>35</v>
      </c>
      <c r="BQ14" s="734"/>
      <c r="BR14" s="734"/>
      <c r="BS14" s="734"/>
      <c r="BT14" s="734"/>
      <c r="BU14" s="734">
        <v>10</v>
      </c>
      <c r="BV14" s="734"/>
      <c r="BW14" s="734"/>
      <c r="BX14" s="734"/>
      <c r="BY14" s="734"/>
      <c r="BZ14" s="734">
        <v>5</v>
      </c>
      <c r="CA14" s="734"/>
      <c r="CB14" s="734"/>
      <c r="CC14" s="734"/>
      <c r="CD14" s="734"/>
      <c r="CE14" s="734">
        <v>1</v>
      </c>
      <c r="CF14" s="734"/>
      <c r="CG14" s="734"/>
      <c r="CH14" s="734"/>
      <c r="CI14" s="734"/>
      <c r="CJ14" s="734">
        <v>0</v>
      </c>
      <c r="CK14" s="734"/>
      <c r="CL14" s="734"/>
      <c r="CM14" s="734"/>
      <c r="CN14" s="734"/>
      <c r="CO14" s="734">
        <v>0</v>
      </c>
      <c r="CP14" s="734"/>
      <c r="CQ14" s="734"/>
      <c r="CR14" s="734"/>
      <c r="CS14" s="734"/>
      <c r="CT14" s="734">
        <v>0</v>
      </c>
      <c r="CU14" s="734"/>
      <c r="CV14" s="734"/>
      <c r="CW14" s="734"/>
      <c r="CX14" s="734"/>
      <c r="CY14" s="734">
        <v>0</v>
      </c>
      <c r="CZ14" s="734"/>
      <c r="DA14" s="734"/>
      <c r="DB14" s="734"/>
      <c r="DC14" s="735"/>
      <c r="DG14" s="83"/>
      <c r="DH14" s="83"/>
      <c r="DI14" s="83"/>
      <c r="DJ14" s="83"/>
      <c r="DK14" s="83"/>
      <c r="DL14" s="83"/>
      <c r="DM14" s="862"/>
      <c r="DN14" s="862"/>
      <c r="DO14" s="862"/>
      <c r="DP14" s="862"/>
      <c r="DQ14" s="862"/>
      <c r="DR14" s="862"/>
      <c r="DS14" s="862"/>
      <c r="DT14" s="862"/>
      <c r="DU14" s="862"/>
      <c r="DV14" s="862"/>
      <c r="DW14" s="862"/>
      <c r="DX14" s="862"/>
      <c r="DY14" s="862"/>
      <c r="DZ14" s="862"/>
      <c r="EA14" s="862"/>
      <c r="EB14" s="862"/>
      <c r="EC14" s="862"/>
      <c r="ED14" s="862"/>
      <c r="EE14" s="862"/>
      <c r="EF14" s="862"/>
      <c r="EG14" s="862"/>
      <c r="EH14" s="862"/>
      <c r="EI14" s="862"/>
      <c r="EJ14" s="862"/>
      <c r="EK14" s="862"/>
      <c r="EL14" s="862"/>
      <c r="EM14" s="862"/>
      <c r="EN14" s="862"/>
      <c r="EO14" s="862"/>
      <c r="EP14" s="862"/>
      <c r="EQ14" s="862"/>
      <c r="ER14" s="862"/>
      <c r="ES14" s="862"/>
      <c r="ET14" s="862"/>
      <c r="EU14" s="862"/>
      <c r="EV14" s="862"/>
      <c r="EW14" s="862"/>
      <c r="EX14" s="862"/>
      <c r="EY14" s="862"/>
      <c r="EZ14" s="862"/>
      <c r="FA14" s="862"/>
      <c r="FB14" s="862"/>
      <c r="FC14" s="862"/>
      <c r="FD14" s="862"/>
      <c r="FE14" s="862"/>
    </row>
    <row r="15" spans="1:161" ht="21" customHeight="1">
      <c r="A15" s="553" t="s">
        <v>226</v>
      </c>
      <c r="B15" s="727"/>
      <c r="C15" s="727"/>
      <c r="D15" s="727"/>
      <c r="E15" s="727"/>
      <c r="F15" s="727"/>
      <c r="G15" s="1025">
        <v>117</v>
      </c>
      <c r="H15" s="1026"/>
      <c r="I15" s="1026"/>
      <c r="J15" s="1026"/>
      <c r="K15" s="1027"/>
      <c r="L15" s="275">
        <v>6</v>
      </c>
      <c r="M15" s="275"/>
      <c r="N15" s="275"/>
      <c r="O15" s="275"/>
      <c r="P15" s="275"/>
      <c r="Q15" s="275">
        <v>113</v>
      </c>
      <c r="R15" s="275"/>
      <c r="S15" s="275"/>
      <c r="T15" s="275"/>
      <c r="U15" s="275"/>
      <c r="V15" s="275">
        <v>71</v>
      </c>
      <c r="W15" s="275"/>
      <c r="X15" s="275"/>
      <c r="Y15" s="275"/>
      <c r="Z15" s="275"/>
      <c r="AA15" s="275">
        <v>34</v>
      </c>
      <c r="AB15" s="275"/>
      <c r="AC15" s="275"/>
      <c r="AD15" s="275"/>
      <c r="AE15" s="275"/>
      <c r="AF15" s="275">
        <v>63</v>
      </c>
      <c r="AG15" s="275"/>
      <c r="AH15" s="275"/>
      <c r="AI15" s="275"/>
      <c r="AJ15" s="275"/>
      <c r="AK15" s="275">
        <v>16</v>
      </c>
      <c r="AL15" s="275"/>
      <c r="AM15" s="275"/>
      <c r="AN15" s="275"/>
      <c r="AO15" s="275"/>
      <c r="AP15" s="275">
        <v>83</v>
      </c>
      <c r="AQ15" s="275"/>
      <c r="AR15" s="275"/>
      <c r="AS15" s="275"/>
      <c r="AT15" s="275"/>
      <c r="AU15" s="275">
        <v>59</v>
      </c>
      <c r="AV15" s="275"/>
      <c r="AW15" s="275"/>
      <c r="AX15" s="275"/>
      <c r="AY15" s="1015"/>
      <c r="AZ15" s="894"/>
      <c r="BA15" s="894"/>
      <c r="BB15" s="30"/>
      <c r="BC15" s="30"/>
      <c r="BD15" s="83"/>
      <c r="BE15" s="553" t="s">
        <v>226</v>
      </c>
      <c r="BF15" s="727"/>
      <c r="BG15" s="727"/>
      <c r="BH15" s="727"/>
      <c r="BI15" s="727"/>
      <c r="BJ15" s="727"/>
      <c r="BK15" s="1021">
        <v>216</v>
      </c>
      <c r="BL15" s="1022"/>
      <c r="BM15" s="1022"/>
      <c r="BN15" s="1022"/>
      <c r="BO15" s="1023"/>
      <c r="BP15" s="734">
        <v>33</v>
      </c>
      <c r="BQ15" s="734"/>
      <c r="BR15" s="734"/>
      <c r="BS15" s="734"/>
      <c r="BT15" s="734"/>
      <c r="BU15" s="734">
        <v>5</v>
      </c>
      <c r="BV15" s="734"/>
      <c r="BW15" s="734"/>
      <c r="BX15" s="734"/>
      <c r="BY15" s="734"/>
      <c r="BZ15" s="734">
        <v>3</v>
      </c>
      <c r="CA15" s="734"/>
      <c r="CB15" s="734"/>
      <c r="CC15" s="734"/>
      <c r="CD15" s="734"/>
      <c r="CE15" s="1024">
        <v>1</v>
      </c>
      <c r="CF15" s="734"/>
      <c r="CG15" s="734"/>
      <c r="CH15" s="734"/>
      <c r="CI15" s="734"/>
      <c r="CJ15" s="734">
        <v>2</v>
      </c>
      <c r="CK15" s="734"/>
      <c r="CL15" s="734"/>
      <c r="CM15" s="734"/>
      <c r="CN15" s="734"/>
      <c r="CO15" s="734">
        <v>0</v>
      </c>
      <c r="CP15" s="734"/>
      <c r="CQ15" s="734"/>
      <c r="CR15" s="734"/>
      <c r="CS15" s="734"/>
      <c r="CT15" s="734">
        <v>0</v>
      </c>
      <c r="CU15" s="734"/>
      <c r="CV15" s="734"/>
      <c r="CW15" s="734"/>
      <c r="CX15" s="734"/>
      <c r="CY15" s="734">
        <v>0</v>
      </c>
      <c r="CZ15" s="734"/>
      <c r="DA15" s="734"/>
      <c r="DB15" s="734"/>
      <c r="DC15" s="735"/>
      <c r="DG15" s="83"/>
      <c r="DH15" s="83"/>
      <c r="DI15" s="83"/>
      <c r="DJ15" s="83"/>
      <c r="DK15" s="83"/>
      <c r="DL15" s="83"/>
      <c r="DM15" s="862"/>
      <c r="DN15" s="862"/>
      <c r="DO15" s="862"/>
      <c r="DP15" s="862"/>
      <c r="DQ15" s="862"/>
      <c r="DR15" s="862"/>
      <c r="DS15" s="862"/>
      <c r="DT15" s="862"/>
      <c r="DU15" s="862"/>
      <c r="DV15" s="862"/>
      <c r="DW15" s="862"/>
      <c r="DX15" s="862"/>
      <c r="DY15" s="862"/>
      <c r="DZ15" s="862"/>
      <c r="EA15" s="862"/>
      <c r="EB15" s="862"/>
      <c r="EC15" s="862"/>
      <c r="ED15" s="862"/>
      <c r="EE15" s="862"/>
      <c r="EF15" s="862"/>
      <c r="EG15" s="862"/>
      <c r="EH15" s="862"/>
      <c r="EI15" s="862"/>
      <c r="EJ15" s="862"/>
      <c r="EK15" s="862"/>
      <c r="EL15" s="862"/>
      <c r="EM15" s="862"/>
      <c r="EN15" s="862"/>
      <c r="EO15" s="862"/>
      <c r="EP15" s="862"/>
      <c r="EQ15" s="862"/>
      <c r="ER15" s="862"/>
      <c r="ES15" s="862"/>
      <c r="ET15" s="862"/>
      <c r="EU15" s="862"/>
      <c r="EV15" s="862"/>
      <c r="EW15" s="862"/>
      <c r="EX15" s="862"/>
      <c r="EY15" s="862"/>
      <c r="EZ15" s="862"/>
      <c r="FA15" s="862"/>
      <c r="FB15" s="862"/>
      <c r="FC15" s="862"/>
      <c r="FD15" s="862"/>
      <c r="FE15" s="862"/>
    </row>
    <row r="16" spans="1:161" ht="21" customHeight="1">
      <c r="A16" s="553" t="s">
        <v>227</v>
      </c>
      <c r="B16" s="727"/>
      <c r="C16" s="727"/>
      <c r="D16" s="727"/>
      <c r="E16" s="727"/>
      <c r="F16" s="727"/>
      <c r="G16" s="1025">
        <v>10</v>
      </c>
      <c r="H16" s="1026"/>
      <c r="I16" s="1026"/>
      <c r="J16" s="1026"/>
      <c r="K16" s="1027"/>
      <c r="L16" s="1018">
        <v>0</v>
      </c>
      <c r="M16" s="1019"/>
      <c r="N16" s="1019"/>
      <c r="O16" s="1019"/>
      <c r="P16" s="1020"/>
      <c r="Q16" s="275">
        <v>10</v>
      </c>
      <c r="R16" s="275"/>
      <c r="S16" s="275"/>
      <c r="T16" s="275"/>
      <c r="U16" s="275"/>
      <c r="V16" s="275">
        <v>7</v>
      </c>
      <c r="W16" s="275"/>
      <c r="X16" s="275"/>
      <c r="Y16" s="275"/>
      <c r="Z16" s="275"/>
      <c r="AA16" s="275">
        <v>3</v>
      </c>
      <c r="AB16" s="275"/>
      <c r="AC16" s="275"/>
      <c r="AD16" s="275"/>
      <c r="AE16" s="275"/>
      <c r="AF16" s="275">
        <v>5</v>
      </c>
      <c r="AG16" s="275"/>
      <c r="AH16" s="275"/>
      <c r="AI16" s="275"/>
      <c r="AJ16" s="275"/>
      <c r="AK16" s="275">
        <v>4</v>
      </c>
      <c r="AL16" s="275"/>
      <c r="AM16" s="275"/>
      <c r="AN16" s="275"/>
      <c r="AO16" s="275"/>
      <c r="AP16" s="275">
        <v>6</v>
      </c>
      <c r="AQ16" s="275"/>
      <c r="AR16" s="275"/>
      <c r="AS16" s="275"/>
      <c r="AT16" s="275"/>
      <c r="AU16" s="275">
        <v>8</v>
      </c>
      <c r="AV16" s="275"/>
      <c r="AW16" s="275"/>
      <c r="AX16" s="275"/>
      <c r="AY16" s="1015"/>
      <c r="AZ16" s="894"/>
      <c r="BA16" s="894"/>
      <c r="BB16" s="30"/>
      <c r="BC16" s="30"/>
      <c r="BD16" s="83"/>
      <c r="BE16" s="553" t="s">
        <v>227</v>
      </c>
      <c r="BF16" s="727"/>
      <c r="BG16" s="727"/>
      <c r="BH16" s="727"/>
      <c r="BI16" s="727"/>
      <c r="BJ16" s="727"/>
      <c r="BK16" s="1021">
        <v>32</v>
      </c>
      <c r="BL16" s="1022"/>
      <c r="BM16" s="1022"/>
      <c r="BN16" s="1022"/>
      <c r="BO16" s="1023"/>
      <c r="BP16" s="734">
        <v>4</v>
      </c>
      <c r="BQ16" s="734"/>
      <c r="BR16" s="734"/>
      <c r="BS16" s="734"/>
      <c r="BT16" s="734"/>
      <c r="BU16" s="734">
        <v>1</v>
      </c>
      <c r="BV16" s="734"/>
      <c r="BW16" s="734"/>
      <c r="BX16" s="734"/>
      <c r="BY16" s="734"/>
      <c r="BZ16" s="1024">
        <v>0</v>
      </c>
      <c r="CA16" s="734"/>
      <c r="CB16" s="734"/>
      <c r="CC16" s="734"/>
      <c r="CD16" s="734"/>
      <c r="CE16" s="734">
        <v>0</v>
      </c>
      <c r="CF16" s="734"/>
      <c r="CG16" s="734"/>
      <c r="CH16" s="734"/>
      <c r="CI16" s="734"/>
      <c r="CJ16" s="734">
        <v>0</v>
      </c>
      <c r="CK16" s="734"/>
      <c r="CL16" s="734"/>
      <c r="CM16" s="734"/>
      <c r="CN16" s="734"/>
      <c r="CO16" s="1028">
        <v>0</v>
      </c>
      <c r="CP16" s="1029"/>
      <c r="CQ16" s="1029"/>
      <c r="CR16" s="1029"/>
      <c r="CS16" s="1030"/>
      <c r="CT16" s="734">
        <v>0</v>
      </c>
      <c r="CU16" s="734"/>
      <c r="CV16" s="734"/>
      <c r="CW16" s="734"/>
      <c r="CX16" s="734"/>
      <c r="CY16" s="734">
        <v>0</v>
      </c>
      <c r="CZ16" s="734"/>
      <c r="DA16" s="734"/>
      <c r="DB16" s="734"/>
      <c r="DC16" s="735"/>
      <c r="DG16" s="83"/>
      <c r="DH16" s="83"/>
      <c r="DI16" s="83"/>
      <c r="DJ16" s="83"/>
      <c r="DK16" s="83"/>
      <c r="DL16" s="83"/>
      <c r="DM16" s="862"/>
      <c r="DN16" s="862"/>
      <c r="DO16" s="862"/>
      <c r="DP16" s="862"/>
      <c r="DQ16" s="862"/>
      <c r="DR16" s="862"/>
      <c r="DS16" s="862"/>
      <c r="DT16" s="862"/>
      <c r="DU16" s="862"/>
      <c r="DV16" s="862"/>
      <c r="DW16" s="862"/>
      <c r="DX16" s="862"/>
      <c r="DY16" s="862"/>
      <c r="DZ16" s="862"/>
      <c r="EA16" s="862"/>
      <c r="EB16" s="862"/>
      <c r="EC16" s="862"/>
      <c r="ED16" s="862"/>
      <c r="EE16" s="862"/>
      <c r="EF16" s="862"/>
      <c r="EG16" s="862"/>
      <c r="EH16" s="862"/>
      <c r="EI16" s="862"/>
      <c r="EJ16" s="862"/>
      <c r="EK16" s="862"/>
      <c r="EL16" s="862"/>
      <c r="EM16" s="862"/>
      <c r="EN16" s="862"/>
      <c r="EO16" s="862"/>
      <c r="EP16" s="862"/>
      <c r="EQ16" s="976"/>
      <c r="ER16" s="976"/>
      <c r="ES16" s="976"/>
      <c r="ET16" s="976"/>
      <c r="EU16" s="976"/>
      <c r="EV16" s="862"/>
      <c r="EW16" s="862"/>
      <c r="EX16" s="862"/>
      <c r="EY16" s="862"/>
      <c r="EZ16" s="862"/>
      <c r="FA16" s="862"/>
      <c r="FB16" s="862"/>
      <c r="FC16" s="862"/>
      <c r="FD16" s="862"/>
      <c r="FE16" s="862"/>
    </row>
    <row r="17" spans="1:161" ht="21" customHeight="1">
      <c r="A17" s="553" t="s">
        <v>94</v>
      </c>
      <c r="B17" s="727"/>
      <c r="C17" s="727"/>
      <c r="D17" s="727"/>
      <c r="E17" s="727"/>
      <c r="F17" s="727"/>
      <c r="G17" s="1025">
        <v>34</v>
      </c>
      <c r="H17" s="1026"/>
      <c r="I17" s="1026"/>
      <c r="J17" s="1026"/>
      <c r="K17" s="1027"/>
      <c r="L17" s="275">
        <v>1</v>
      </c>
      <c r="M17" s="275"/>
      <c r="N17" s="275"/>
      <c r="O17" s="275"/>
      <c r="P17" s="275"/>
      <c r="Q17" s="275">
        <v>33</v>
      </c>
      <c r="R17" s="275"/>
      <c r="S17" s="275"/>
      <c r="T17" s="275"/>
      <c r="U17" s="275"/>
      <c r="V17" s="275">
        <v>14</v>
      </c>
      <c r="W17" s="275"/>
      <c r="X17" s="275"/>
      <c r="Y17" s="275"/>
      <c r="Z17" s="275"/>
      <c r="AA17" s="275">
        <v>7</v>
      </c>
      <c r="AB17" s="275"/>
      <c r="AC17" s="275"/>
      <c r="AD17" s="275"/>
      <c r="AE17" s="275"/>
      <c r="AF17" s="275">
        <v>15</v>
      </c>
      <c r="AG17" s="275"/>
      <c r="AH17" s="275"/>
      <c r="AI17" s="275"/>
      <c r="AJ17" s="275"/>
      <c r="AK17" s="275">
        <v>6</v>
      </c>
      <c r="AL17" s="275"/>
      <c r="AM17" s="275"/>
      <c r="AN17" s="275"/>
      <c r="AO17" s="275"/>
      <c r="AP17" s="275">
        <v>17</v>
      </c>
      <c r="AQ17" s="275"/>
      <c r="AR17" s="275"/>
      <c r="AS17" s="275"/>
      <c r="AT17" s="275"/>
      <c r="AU17" s="275">
        <v>16</v>
      </c>
      <c r="AV17" s="275"/>
      <c r="AW17" s="275"/>
      <c r="AX17" s="275"/>
      <c r="AY17" s="1015"/>
      <c r="AZ17" s="894"/>
      <c r="BA17" s="894"/>
      <c r="BB17" s="30"/>
      <c r="BC17" s="30"/>
      <c r="BD17" s="83"/>
      <c r="BE17" s="553" t="s">
        <v>94</v>
      </c>
      <c r="BF17" s="727"/>
      <c r="BG17" s="727"/>
      <c r="BH17" s="727"/>
      <c r="BI17" s="727"/>
      <c r="BJ17" s="727"/>
      <c r="BK17" s="1021">
        <v>178</v>
      </c>
      <c r="BL17" s="1022"/>
      <c r="BM17" s="1022"/>
      <c r="BN17" s="1022"/>
      <c r="BO17" s="1023"/>
      <c r="BP17" s="734">
        <v>11</v>
      </c>
      <c r="BQ17" s="734"/>
      <c r="BR17" s="734"/>
      <c r="BS17" s="734"/>
      <c r="BT17" s="734"/>
      <c r="BU17" s="734">
        <v>6</v>
      </c>
      <c r="BV17" s="734"/>
      <c r="BW17" s="734"/>
      <c r="BX17" s="734"/>
      <c r="BY17" s="734"/>
      <c r="BZ17" s="1024">
        <v>2</v>
      </c>
      <c r="CA17" s="734"/>
      <c r="CB17" s="734"/>
      <c r="CC17" s="734"/>
      <c r="CD17" s="734"/>
      <c r="CE17" s="734">
        <v>0</v>
      </c>
      <c r="CF17" s="734"/>
      <c r="CG17" s="734"/>
      <c r="CH17" s="734"/>
      <c r="CI17" s="734"/>
      <c r="CJ17" s="734">
        <v>0</v>
      </c>
      <c r="CK17" s="734"/>
      <c r="CL17" s="734"/>
      <c r="CM17" s="734"/>
      <c r="CN17" s="734"/>
      <c r="CO17" s="734">
        <v>0</v>
      </c>
      <c r="CP17" s="734"/>
      <c r="CQ17" s="734"/>
      <c r="CR17" s="734"/>
      <c r="CS17" s="734"/>
      <c r="CT17" s="734">
        <v>0</v>
      </c>
      <c r="CU17" s="734"/>
      <c r="CV17" s="734"/>
      <c r="CW17" s="734"/>
      <c r="CX17" s="734"/>
      <c r="CY17" s="734">
        <v>0</v>
      </c>
      <c r="CZ17" s="734"/>
      <c r="DA17" s="734"/>
      <c r="DB17" s="734"/>
      <c r="DC17" s="735"/>
      <c r="DG17" s="83"/>
      <c r="DH17" s="83"/>
      <c r="DI17" s="83"/>
      <c r="DJ17" s="83"/>
      <c r="DK17" s="83"/>
      <c r="DL17" s="83"/>
      <c r="DM17" s="862"/>
      <c r="DN17" s="862"/>
      <c r="DO17" s="862"/>
      <c r="DP17" s="862"/>
      <c r="DQ17" s="862"/>
      <c r="DR17" s="862"/>
      <c r="DS17" s="862"/>
      <c r="DT17" s="862"/>
      <c r="DU17" s="862"/>
      <c r="DV17" s="862"/>
      <c r="DW17" s="862"/>
      <c r="DX17" s="862"/>
      <c r="DY17" s="862"/>
      <c r="DZ17" s="862"/>
      <c r="EA17" s="862"/>
      <c r="EB17" s="862"/>
      <c r="EC17" s="862"/>
      <c r="ED17" s="862"/>
      <c r="EE17" s="862"/>
      <c r="EF17" s="862"/>
      <c r="EG17" s="862"/>
      <c r="EH17" s="862"/>
      <c r="EI17" s="862"/>
      <c r="EJ17" s="862"/>
      <c r="EK17" s="862"/>
      <c r="EL17" s="862"/>
      <c r="EM17" s="862"/>
      <c r="EN17" s="862"/>
      <c r="EO17" s="862"/>
      <c r="EP17" s="862"/>
      <c r="EQ17" s="862"/>
      <c r="ER17" s="862"/>
      <c r="ES17" s="862"/>
      <c r="ET17" s="862"/>
      <c r="EU17" s="862"/>
      <c r="EV17" s="862"/>
      <c r="EW17" s="862"/>
      <c r="EX17" s="862"/>
      <c r="EY17" s="862"/>
      <c r="EZ17" s="862"/>
      <c r="FA17" s="862"/>
      <c r="FB17" s="862"/>
      <c r="FC17" s="862"/>
      <c r="FD17" s="862"/>
      <c r="FE17" s="862"/>
    </row>
    <row r="18" spans="1:161" ht="21" customHeight="1">
      <c r="A18" s="553" t="s">
        <v>228</v>
      </c>
      <c r="B18" s="727"/>
      <c r="C18" s="727"/>
      <c r="D18" s="727"/>
      <c r="E18" s="727"/>
      <c r="F18" s="727"/>
      <c r="G18" s="275">
        <v>125</v>
      </c>
      <c r="H18" s="275"/>
      <c r="I18" s="275"/>
      <c r="J18" s="275"/>
      <c r="K18" s="275"/>
      <c r="L18" s="275">
        <v>6</v>
      </c>
      <c r="M18" s="275"/>
      <c r="N18" s="275"/>
      <c r="O18" s="275"/>
      <c r="P18" s="275"/>
      <c r="Q18" s="275">
        <v>119</v>
      </c>
      <c r="R18" s="275"/>
      <c r="S18" s="275"/>
      <c r="T18" s="275"/>
      <c r="U18" s="275"/>
      <c r="V18" s="275">
        <v>49</v>
      </c>
      <c r="W18" s="275"/>
      <c r="X18" s="275"/>
      <c r="Y18" s="275"/>
      <c r="Z18" s="275"/>
      <c r="AA18" s="275">
        <v>23</v>
      </c>
      <c r="AB18" s="275"/>
      <c r="AC18" s="275"/>
      <c r="AD18" s="275"/>
      <c r="AE18" s="275"/>
      <c r="AF18" s="275">
        <v>50</v>
      </c>
      <c r="AG18" s="275"/>
      <c r="AH18" s="275"/>
      <c r="AI18" s="275"/>
      <c r="AJ18" s="275"/>
      <c r="AK18" s="275">
        <v>31</v>
      </c>
      <c r="AL18" s="275"/>
      <c r="AM18" s="275"/>
      <c r="AN18" s="275"/>
      <c r="AO18" s="275"/>
      <c r="AP18" s="275">
        <v>57</v>
      </c>
      <c r="AQ18" s="275"/>
      <c r="AR18" s="275"/>
      <c r="AS18" s="275"/>
      <c r="AT18" s="275"/>
      <c r="AU18" s="275">
        <v>26</v>
      </c>
      <c r="AV18" s="275"/>
      <c r="AW18" s="275"/>
      <c r="AX18" s="275"/>
      <c r="AY18" s="1015"/>
      <c r="AZ18" s="894"/>
      <c r="BA18" s="894"/>
      <c r="BB18" s="30"/>
      <c r="BC18" s="30"/>
      <c r="BD18" s="83"/>
      <c r="BE18" s="553" t="s">
        <v>228</v>
      </c>
      <c r="BF18" s="727"/>
      <c r="BG18" s="727"/>
      <c r="BH18" s="727"/>
      <c r="BI18" s="727"/>
      <c r="BJ18" s="727"/>
      <c r="BK18" s="734">
        <v>405</v>
      </c>
      <c r="BL18" s="734"/>
      <c r="BM18" s="734"/>
      <c r="BN18" s="734"/>
      <c r="BO18" s="734"/>
      <c r="BP18" s="734">
        <v>37</v>
      </c>
      <c r="BQ18" s="734"/>
      <c r="BR18" s="734"/>
      <c r="BS18" s="734"/>
      <c r="BT18" s="734"/>
      <c r="BU18" s="734">
        <v>14</v>
      </c>
      <c r="BV18" s="734"/>
      <c r="BW18" s="734"/>
      <c r="BX18" s="734"/>
      <c r="BY18" s="734"/>
      <c r="BZ18" s="734">
        <v>2</v>
      </c>
      <c r="CA18" s="734"/>
      <c r="CB18" s="734"/>
      <c r="CC18" s="734"/>
      <c r="CD18" s="734"/>
      <c r="CE18" s="734">
        <v>3</v>
      </c>
      <c r="CF18" s="734"/>
      <c r="CG18" s="734"/>
      <c r="CH18" s="734"/>
      <c r="CI18" s="734"/>
      <c r="CJ18" s="734">
        <v>2</v>
      </c>
      <c r="CK18" s="734"/>
      <c r="CL18" s="734"/>
      <c r="CM18" s="734"/>
      <c r="CN18" s="734"/>
      <c r="CO18" s="734">
        <v>2</v>
      </c>
      <c r="CP18" s="734"/>
      <c r="CQ18" s="734"/>
      <c r="CR18" s="734"/>
      <c r="CS18" s="734"/>
      <c r="CT18" s="734">
        <v>0</v>
      </c>
      <c r="CU18" s="734"/>
      <c r="CV18" s="734"/>
      <c r="CW18" s="734"/>
      <c r="CX18" s="734"/>
      <c r="CY18" s="734">
        <v>1</v>
      </c>
      <c r="CZ18" s="734"/>
      <c r="DA18" s="734"/>
      <c r="DB18" s="734"/>
      <c r="DC18" s="735"/>
      <c r="DG18" s="83"/>
      <c r="DH18" s="83"/>
      <c r="DI18" s="83"/>
      <c r="DJ18" s="83"/>
      <c r="DK18" s="83"/>
      <c r="DL18" s="83"/>
      <c r="DM18" s="862"/>
      <c r="DN18" s="862"/>
      <c r="DO18" s="862"/>
      <c r="DP18" s="862"/>
      <c r="DQ18" s="862"/>
      <c r="DR18" s="862"/>
      <c r="DS18" s="862"/>
      <c r="DT18" s="862"/>
      <c r="DU18" s="862"/>
      <c r="DV18" s="862"/>
      <c r="DW18" s="862"/>
      <c r="DX18" s="862"/>
      <c r="DY18" s="862"/>
      <c r="DZ18" s="862"/>
      <c r="EA18" s="862"/>
      <c r="EB18" s="862"/>
      <c r="EC18" s="862"/>
      <c r="ED18" s="862"/>
      <c r="EE18" s="862"/>
      <c r="EF18" s="862"/>
      <c r="EG18" s="862"/>
      <c r="EH18" s="862"/>
      <c r="EI18" s="862"/>
      <c r="EJ18" s="862"/>
      <c r="EK18" s="862"/>
      <c r="EL18" s="862"/>
      <c r="EM18" s="862"/>
      <c r="EN18" s="862"/>
      <c r="EO18" s="862"/>
      <c r="EP18" s="862"/>
      <c r="EQ18" s="862"/>
      <c r="ER18" s="862"/>
      <c r="ES18" s="862"/>
      <c r="ET18" s="862"/>
      <c r="EU18" s="862"/>
      <c r="EV18" s="862"/>
      <c r="EW18" s="862"/>
      <c r="EX18" s="862"/>
      <c r="EY18" s="862"/>
      <c r="EZ18" s="862"/>
      <c r="FA18" s="862"/>
      <c r="FB18" s="862"/>
      <c r="FC18" s="862"/>
      <c r="FD18" s="862"/>
      <c r="FE18" s="862"/>
    </row>
    <row r="19" spans="1:161" ht="21" customHeight="1">
      <c r="A19" s="553" t="s">
        <v>96</v>
      </c>
      <c r="B19" s="727"/>
      <c r="C19" s="727"/>
      <c r="D19" s="727"/>
      <c r="E19" s="727"/>
      <c r="F19" s="727"/>
      <c r="G19" s="275">
        <v>49</v>
      </c>
      <c r="H19" s="275"/>
      <c r="I19" s="275"/>
      <c r="J19" s="275"/>
      <c r="K19" s="275"/>
      <c r="L19" s="275">
        <v>5</v>
      </c>
      <c r="M19" s="275"/>
      <c r="N19" s="275"/>
      <c r="O19" s="275"/>
      <c r="P19" s="275"/>
      <c r="Q19" s="275">
        <v>44</v>
      </c>
      <c r="R19" s="275"/>
      <c r="S19" s="275"/>
      <c r="T19" s="275"/>
      <c r="U19" s="275"/>
      <c r="V19" s="275">
        <v>15</v>
      </c>
      <c r="W19" s="275"/>
      <c r="X19" s="275"/>
      <c r="Y19" s="275"/>
      <c r="Z19" s="275"/>
      <c r="AA19" s="275">
        <v>5</v>
      </c>
      <c r="AB19" s="275"/>
      <c r="AC19" s="275"/>
      <c r="AD19" s="275"/>
      <c r="AE19" s="275"/>
      <c r="AF19" s="275">
        <v>8</v>
      </c>
      <c r="AG19" s="275"/>
      <c r="AH19" s="275"/>
      <c r="AI19" s="275"/>
      <c r="AJ19" s="275"/>
      <c r="AK19" s="275">
        <v>21</v>
      </c>
      <c r="AL19" s="275"/>
      <c r="AM19" s="275"/>
      <c r="AN19" s="275"/>
      <c r="AO19" s="275"/>
      <c r="AP19" s="275">
        <v>27</v>
      </c>
      <c r="AQ19" s="275"/>
      <c r="AR19" s="275"/>
      <c r="AS19" s="275"/>
      <c r="AT19" s="275"/>
      <c r="AU19" s="275">
        <v>22</v>
      </c>
      <c r="AV19" s="275"/>
      <c r="AW19" s="275"/>
      <c r="AX19" s="275"/>
      <c r="AY19" s="1015"/>
      <c r="AZ19" s="894"/>
      <c r="BA19" s="894"/>
      <c r="BB19" s="30"/>
      <c r="BC19" s="30"/>
      <c r="BD19" s="83"/>
      <c r="BE19" s="553" t="s">
        <v>96</v>
      </c>
      <c r="BF19" s="727"/>
      <c r="BG19" s="727"/>
      <c r="BH19" s="727"/>
      <c r="BI19" s="727"/>
      <c r="BJ19" s="727"/>
      <c r="BK19" s="734">
        <v>213</v>
      </c>
      <c r="BL19" s="734"/>
      <c r="BM19" s="734"/>
      <c r="BN19" s="734"/>
      <c r="BO19" s="734"/>
      <c r="BP19" s="734">
        <v>21</v>
      </c>
      <c r="BQ19" s="734"/>
      <c r="BR19" s="734"/>
      <c r="BS19" s="734"/>
      <c r="BT19" s="734"/>
      <c r="BU19" s="734">
        <v>8</v>
      </c>
      <c r="BV19" s="734"/>
      <c r="BW19" s="734"/>
      <c r="BX19" s="734"/>
      <c r="BY19" s="734"/>
      <c r="BZ19" s="734">
        <v>5</v>
      </c>
      <c r="CA19" s="734"/>
      <c r="CB19" s="734"/>
      <c r="CC19" s="734"/>
      <c r="CD19" s="734"/>
      <c r="CE19" s="734">
        <v>0</v>
      </c>
      <c r="CF19" s="734"/>
      <c r="CG19" s="734"/>
      <c r="CH19" s="734"/>
      <c r="CI19" s="734"/>
      <c r="CJ19" s="734">
        <v>0</v>
      </c>
      <c r="CK19" s="734"/>
      <c r="CL19" s="734"/>
      <c r="CM19" s="734"/>
      <c r="CN19" s="734"/>
      <c r="CO19" s="734">
        <v>0</v>
      </c>
      <c r="CP19" s="734"/>
      <c r="CQ19" s="734"/>
      <c r="CR19" s="734"/>
      <c r="CS19" s="734"/>
      <c r="CT19" s="734">
        <v>0</v>
      </c>
      <c r="CU19" s="734"/>
      <c r="CV19" s="734"/>
      <c r="CW19" s="734"/>
      <c r="CX19" s="734"/>
      <c r="CY19" s="734">
        <v>0</v>
      </c>
      <c r="CZ19" s="734"/>
      <c r="DA19" s="734"/>
      <c r="DB19" s="734"/>
      <c r="DC19" s="735"/>
      <c r="DG19" s="83"/>
      <c r="DH19" s="83"/>
      <c r="DI19" s="83"/>
      <c r="DJ19" s="83"/>
      <c r="DK19" s="83"/>
      <c r="DL19" s="83"/>
      <c r="DM19" s="862"/>
      <c r="DN19" s="862"/>
      <c r="DO19" s="862"/>
      <c r="DP19" s="862"/>
      <c r="DQ19" s="862"/>
      <c r="DR19" s="862"/>
      <c r="DS19" s="862"/>
      <c r="DT19" s="862"/>
      <c r="DU19" s="862"/>
      <c r="DV19" s="862"/>
      <c r="DW19" s="862"/>
      <c r="DX19" s="862"/>
      <c r="DY19" s="862"/>
      <c r="DZ19" s="862"/>
      <c r="EA19" s="862"/>
      <c r="EB19" s="862"/>
      <c r="EC19" s="862"/>
      <c r="ED19" s="862"/>
      <c r="EE19" s="862"/>
      <c r="EF19" s="862"/>
      <c r="EG19" s="862"/>
      <c r="EH19" s="862"/>
      <c r="EI19" s="862"/>
      <c r="EJ19" s="862"/>
      <c r="EK19" s="862"/>
      <c r="EL19" s="862"/>
      <c r="EM19" s="862"/>
      <c r="EN19" s="862"/>
      <c r="EO19" s="862"/>
      <c r="EP19" s="862"/>
      <c r="EQ19" s="862"/>
      <c r="ER19" s="862"/>
      <c r="ES19" s="862"/>
      <c r="ET19" s="862"/>
      <c r="EU19" s="862"/>
      <c r="EV19" s="862"/>
      <c r="EW19" s="862"/>
      <c r="EX19" s="862"/>
      <c r="EY19" s="862"/>
      <c r="EZ19" s="862"/>
      <c r="FA19" s="862"/>
      <c r="FB19" s="862"/>
      <c r="FC19" s="862"/>
      <c r="FD19" s="862"/>
      <c r="FE19" s="862"/>
    </row>
    <row r="20" spans="1:161" ht="21" customHeight="1" thickBot="1">
      <c r="A20" s="1031" t="s">
        <v>97</v>
      </c>
      <c r="B20" s="1032"/>
      <c r="C20" s="1032"/>
      <c r="D20" s="1032"/>
      <c r="E20" s="1032"/>
      <c r="F20" s="1032"/>
      <c r="G20" s="1033">
        <v>119</v>
      </c>
      <c r="H20" s="1033"/>
      <c r="I20" s="1033"/>
      <c r="J20" s="1033"/>
      <c r="K20" s="1033"/>
      <c r="L20" s="1033">
        <v>12</v>
      </c>
      <c r="M20" s="1033"/>
      <c r="N20" s="1033"/>
      <c r="O20" s="1033"/>
      <c r="P20" s="1033"/>
      <c r="Q20" s="1033">
        <v>108</v>
      </c>
      <c r="R20" s="1033"/>
      <c r="S20" s="1033"/>
      <c r="T20" s="1033"/>
      <c r="U20" s="1033"/>
      <c r="V20" s="1033">
        <v>50</v>
      </c>
      <c r="W20" s="1033"/>
      <c r="X20" s="1033"/>
      <c r="Y20" s="1033"/>
      <c r="Z20" s="1033"/>
      <c r="AA20" s="1033">
        <v>20</v>
      </c>
      <c r="AB20" s="1033"/>
      <c r="AC20" s="1033"/>
      <c r="AD20" s="1033"/>
      <c r="AE20" s="1033"/>
      <c r="AF20" s="1033">
        <v>41</v>
      </c>
      <c r="AG20" s="1033"/>
      <c r="AH20" s="1033"/>
      <c r="AI20" s="1033"/>
      <c r="AJ20" s="1033"/>
      <c r="AK20" s="1033">
        <v>67</v>
      </c>
      <c r="AL20" s="1033"/>
      <c r="AM20" s="1033"/>
      <c r="AN20" s="1033"/>
      <c r="AO20" s="1033"/>
      <c r="AP20" s="1033">
        <v>56</v>
      </c>
      <c r="AQ20" s="1033"/>
      <c r="AR20" s="1033"/>
      <c r="AS20" s="1033"/>
      <c r="AT20" s="1033"/>
      <c r="AU20" s="1033">
        <v>69</v>
      </c>
      <c r="AV20" s="1033"/>
      <c r="AW20" s="1033"/>
      <c r="AX20" s="1033"/>
      <c r="AY20" s="1034"/>
      <c r="AZ20" s="894"/>
      <c r="BA20" s="894"/>
      <c r="BB20" s="30"/>
      <c r="BC20" s="30"/>
      <c r="BD20" s="83"/>
      <c r="BE20" s="1031" t="s">
        <v>97</v>
      </c>
      <c r="BF20" s="1032"/>
      <c r="BG20" s="1032"/>
      <c r="BH20" s="1032"/>
      <c r="BI20" s="1032"/>
      <c r="BJ20" s="1032"/>
      <c r="BK20" s="743">
        <v>273</v>
      </c>
      <c r="BL20" s="743"/>
      <c r="BM20" s="743"/>
      <c r="BN20" s="743"/>
      <c r="BO20" s="743"/>
      <c r="BP20" s="743">
        <v>26</v>
      </c>
      <c r="BQ20" s="743"/>
      <c r="BR20" s="743"/>
      <c r="BS20" s="743"/>
      <c r="BT20" s="743"/>
      <c r="BU20" s="743">
        <v>8</v>
      </c>
      <c r="BV20" s="743"/>
      <c r="BW20" s="743"/>
      <c r="BX20" s="743"/>
      <c r="BY20" s="743"/>
      <c r="BZ20" s="743">
        <v>6</v>
      </c>
      <c r="CA20" s="743"/>
      <c r="CB20" s="743"/>
      <c r="CC20" s="743"/>
      <c r="CD20" s="743"/>
      <c r="CE20" s="743">
        <v>1</v>
      </c>
      <c r="CF20" s="743"/>
      <c r="CG20" s="743"/>
      <c r="CH20" s="743"/>
      <c r="CI20" s="743"/>
      <c r="CJ20" s="743">
        <v>1</v>
      </c>
      <c r="CK20" s="743"/>
      <c r="CL20" s="743"/>
      <c r="CM20" s="743"/>
      <c r="CN20" s="743"/>
      <c r="CO20" s="743">
        <v>1</v>
      </c>
      <c r="CP20" s="743"/>
      <c r="CQ20" s="743"/>
      <c r="CR20" s="743"/>
      <c r="CS20" s="743"/>
      <c r="CT20" s="743">
        <v>0</v>
      </c>
      <c r="CU20" s="743"/>
      <c r="CV20" s="743"/>
      <c r="CW20" s="743"/>
      <c r="CX20" s="743"/>
      <c r="CY20" s="743">
        <v>0</v>
      </c>
      <c r="CZ20" s="743"/>
      <c r="DA20" s="743"/>
      <c r="DB20" s="743"/>
      <c r="DC20" s="744"/>
      <c r="DG20" s="83"/>
      <c r="DH20" s="83"/>
      <c r="DI20" s="83"/>
      <c r="DJ20" s="83"/>
      <c r="DK20" s="83"/>
      <c r="DL20" s="83"/>
      <c r="DM20" s="862"/>
      <c r="DN20" s="862"/>
      <c r="DO20" s="862"/>
      <c r="DP20" s="862"/>
      <c r="DQ20" s="862"/>
      <c r="DR20" s="862"/>
      <c r="DS20" s="862"/>
      <c r="DT20" s="862"/>
      <c r="DU20" s="862"/>
      <c r="DV20" s="862"/>
      <c r="DW20" s="862"/>
      <c r="DX20" s="862"/>
      <c r="DY20" s="862"/>
      <c r="DZ20" s="862"/>
      <c r="EA20" s="862"/>
      <c r="EB20" s="862"/>
      <c r="EC20" s="862"/>
      <c r="ED20" s="862"/>
      <c r="EE20" s="862"/>
      <c r="EF20" s="862"/>
      <c r="EG20" s="862"/>
      <c r="EH20" s="862"/>
      <c r="EI20" s="862"/>
      <c r="EJ20" s="862"/>
      <c r="EK20" s="862"/>
      <c r="EL20" s="862"/>
      <c r="EM20" s="862"/>
      <c r="EN20" s="862"/>
      <c r="EO20" s="862"/>
      <c r="EP20" s="862"/>
      <c r="EQ20" s="862"/>
      <c r="ER20" s="862"/>
      <c r="ES20" s="862"/>
      <c r="ET20" s="862"/>
      <c r="EU20" s="862"/>
      <c r="EV20" s="862"/>
      <c r="EW20" s="862"/>
      <c r="EX20" s="862"/>
      <c r="EY20" s="862"/>
      <c r="EZ20" s="862"/>
      <c r="FA20" s="862"/>
      <c r="FB20" s="862"/>
      <c r="FC20" s="862"/>
      <c r="FD20" s="862"/>
      <c r="FE20" s="862"/>
    </row>
    <row r="21" spans="1:161" ht="11.25" customHeight="1">
      <c r="A21" s="83"/>
      <c r="B21" s="83"/>
      <c r="C21" s="83"/>
      <c r="D21" s="83"/>
      <c r="E21" s="83"/>
      <c r="F21" s="83"/>
      <c r="G21" s="1035"/>
      <c r="H21" s="1035"/>
      <c r="I21" s="1035"/>
      <c r="J21" s="1035"/>
      <c r="K21" s="1035"/>
      <c r="L21" s="862"/>
      <c r="M21" s="862"/>
      <c r="N21" s="862"/>
      <c r="O21" s="862"/>
      <c r="P21" s="862"/>
      <c r="Q21" s="974"/>
      <c r="R21" s="974"/>
      <c r="S21" s="974"/>
      <c r="T21" s="974"/>
      <c r="U21" s="974"/>
      <c r="V21" s="862"/>
      <c r="W21" s="862"/>
      <c r="X21" s="862"/>
      <c r="Y21" s="862"/>
      <c r="Z21" s="862"/>
      <c r="AA21" s="862"/>
      <c r="AB21" s="862"/>
      <c r="AC21" s="862"/>
      <c r="AD21" s="862"/>
      <c r="AE21" s="862"/>
      <c r="AF21" s="862"/>
      <c r="AG21" s="862"/>
      <c r="AH21" s="862"/>
      <c r="AI21" s="862"/>
      <c r="AJ21" s="862"/>
      <c r="AK21" s="862"/>
      <c r="AL21" s="862"/>
      <c r="AM21" s="862"/>
      <c r="AN21" s="862"/>
      <c r="AO21" s="862"/>
      <c r="AP21" s="862"/>
      <c r="AQ21" s="862"/>
      <c r="AR21" s="862"/>
      <c r="AS21" s="862"/>
      <c r="AT21" s="862"/>
      <c r="AU21" s="862"/>
      <c r="AV21" s="862"/>
      <c r="AW21" s="862"/>
      <c r="AX21" s="862"/>
      <c r="AY21" s="862"/>
      <c r="AZ21" s="894"/>
      <c r="BA21" s="894"/>
      <c r="BB21" s="30"/>
      <c r="BC21" s="30"/>
      <c r="BD21" s="83"/>
      <c r="BE21" s="83"/>
      <c r="BF21" s="83"/>
      <c r="BG21" s="83"/>
      <c r="BH21" s="83"/>
      <c r="BI21" s="83"/>
      <c r="BJ21" s="83"/>
      <c r="BK21" s="862"/>
      <c r="BL21" s="862"/>
      <c r="BM21" s="862"/>
      <c r="BN21" s="862"/>
      <c r="BO21" s="862"/>
      <c r="BP21" s="862"/>
      <c r="BQ21" s="862"/>
      <c r="BR21" s="862"/>
      <c r="BS21" s="862"/>
      <c r="BT21" s="862"/>
      <c r="BU21" s="862"/>
      <c r="BV21" s="862"/>
      <c r="BW21" s="862"/>
      <c r="BX21" s="862"/>
      <c r="BY21" s="862"/>
      <c r="BZ21" s="862"/>
      <c r="CA21" s="862"/>
      <c r="CB21" s="862"/>
      <c r="CC21" s="862"/>
      <c r="CD21" s="862"/>
      <c r="CE21" s="862"/>
      <c r="CF21" s="862"/>
      <c r="CG21" s="862"/>
      <c r="CH21" s="862"/>
      <c r="CI21" s="862"/>
      <c r="CJ21" s="862"/>
      <c r="CK21" s="862"/>
      <c r="CL21" s="862"/>
      <c r="CM21" s="862"/>
      <c r="CN21" s="862"/>
      <c r="CO21" s="862"/>
      <c r="CP21" s="862"/>
      <c r="CQ21" s="862"/>
      <c r="CR21" s="862"/>
      <c r="CS21" s="862"/>
      <c r="CT21" s="862"/>
      <c r="CU21" s="862"/>
      <c r="CV21" s="862"/>
      <c r="CW21" s="862"/>
      <c r="CX21" s="862"/>
      <c r="CY21" s="862"/>
      <c r="CZ21" s="862"/>
      <c r="DA21" s="862"/>
      <c r="DB21" s="862"/>
      <c r="DC21" s="862"/>
      <c r="DG21" s="83"/>
      <c r="DH21" s="83"/>
      <c r="DI21" s="83"/>
      <c r="DJ21" s="83"/>
      <c r="DK21" s="83"/>
      <c r="DL21" s="83"/>
      <c r="DM21" s="862"/>
      <c r="DN21" s="862"/>
      <c r="DO21" s="862"/>
      <c r="DP21" s="862"/>
      <c r="DQ21" s="862"/>
      <c r="DR21" s="862"/>
      <c r="DS21" s="862"/>
      <c r="DT21" s="862"/>
      <c r="DU21" s="862"/>
      <c r="DV21" s="862"/>
      <c r="DW21" s="862"/>
      <c r="DX21" s="862"/>
      <c r="DY21" s="862"/>
      <c r="DZ21" s="862"/>
      <c r="EA21" s="862"/>
      <c r="EB21" s="862"/>
      <c r="EC21" s="862"/>
      <c r="ED21" s="862"/>
      <c r="EE21" s="862"/>
      <c r="EF21" s="862"/>
      <c r="EG21" s="862"/>
      <c r="EH21" s="862"/>
      <c r="EI21" s="862"/>
      <c r="EJ21" s="862"/>
      <c r="EK21" s="862"/>
      <c r="EL21" s="862"/>
      <c r="EM21" s="862"/>
      <c r="EN21" s="862"/>
      <c r="EO21" s="862"/>
      <c r="EP21" s="862"/>
      <c r="EQ21" s="862"/>
      <c r="ER21" s="862"/>
      <c r="ES21" s="862"/>
      <c r="ET21" s="862"/>
      <c r="EU21" s="862"/>
      <c r="EV21" s="862"/>
      <c r="EW21" s="862"/>
      <c r="EX21" s="862"/>
      <c r="EY21" s="862"/>
      <c r="EZ21" s="862"/>
      <c r="FA21" s="862"/>
      <c r="FB21" s="862"/>
      <c r="FC21" s="862"/>
      <c r="FD21" s="862"/>
      <c r="FE21" s="862"/>
    </row>
    <row r="22" spans="1:161" ht="11.25" customHeight="1">
      <c r="A22" s="83"/>
      <c r="B22" s="83"/>
      <c r="C22" s="83"/>
      <c r="D22" s="83"/>
      <c r="E22" s="83"/>
      <c r="F22" s="83"/>
      <c r="G22" s="1035"/>
      <c r="H22" s="1035"/>
      <c r="I22" s="1035"/>
      <c r="J22" s="1035"/>
      <c r="K22" s="1035"/>
      <c r="L22" s="862"/>
      <c r="M22" s="862"/>
      <c r="N22" s="862"/>
      <c r="O22" s="862"/>
      <c r="P22" s="862"/>
      <c r="Q22" s="974"/>
      <c r="R22" s="974"/>
      <c r="S22" s="974"/>
      <c r="T22" s="974"/>
      <c r="U22" s="974"/>
      <c r="V22" s="862"/>
      <c r="W22" s="862"/>
      <c r="X22" s="862"/>
      <c r="Y22" s="862"/>
      <c r="Z22" s="862"/>
      <c r="AA22" s="862"/>
      <c r="AB22" s="862"/>
      <c r="AC22" s="862"/>
      <c r="AD22" s="862"/>
      <c r="AE22" s="862"/>
      <c r="AF22" s="862"/>
      <c r="AG22" s="862"/>
      <c r="AH22" s="862"/>
      <c r="AI22" s="862"/>
      <c r="AJ22" s="862"/>
      <c r="AK22" s="862"/>
      <c r="AL22" s="862"/>
      <c r="AM22" s="862"/>
      <c r="AN22" s="862"/>
      <c r="AO22" s="862"/>
      <c r="AP22" s="862"/>
      <c r="AQ22" s="862"/>
      <c r="AR22" s="862"/>
      <c r="AS22" s="862"/>
      <c r="AT22" s="862"/>
      <c r="AU22" s="862"/>
      <c r="AV22" s="862"/>
      <c r="AW22" s="862"/>
      <c r="AX22" s="862"/>
      <c r="AY22" s="862"/>
      <c r="AZ22" s="894"/>
      <c r="BA22" s="894"/>
      <c r="BB22" s="30"/>
      <c r="BC22" s="30"/>
      <c r="BD22" s="83"/>
      <c r="BE22" s="83"/>
      <c r="BF22" s="83"/>
      <c r="BG22" s="83"/>
      <c r="BH22" s="83"/>
      <c r="BI22" s="83"/>
      <c r="BJ22" s="83"/>
      <c r="BK22" s="862"/>
      <c r="BL22" s="862"/>
      <c r="BM22" s="862"/>
      <c r="BN22" s="862"/>
      <c r="BO22" s="862"/>
      <c r="BP22" s="862"/>
      <c r="BQ22" s="862"/>
      <c r="BR22" s="862"/>
      <c r="BS22" s="862"/>
      <c r="BT22" s="862"/>
      <c r="BU22" s="862"/>
      <c r="BV22" s="862"/>
      <c r="BW22" s="862"/>
      <c r="BX22" s="862"/>
      <c r="BY22" s="862"/>
      <c r="BZ22" s="862"/>
      <c r="CA22" s="862"/>
      <c r="CB22" s="862"/>
      <c r="CC22" s="862"/>
      <c r="CD22" s="862"/>
      <c r="CE22" s="862"/>
      <c r="CF22" s="862"/>
      <c r="CG22" s="862"/>
      <c r="CH22" s="862"/>
      <c r="CI22" s="862"/>
      <c r="CJ22" s="862"/>
      <c r="CK22" s="862"/>
      <c r="CL22" s="862"/>
      <c r="CM22" s="862"/>
      <c r="CN22" s="862"/>
      <c r="CO22" s="862"/>
      <c r="CP22" s="862"/>
      <c r="CQ22" s="862"/>
      <c r="CR22" s="862"/>
      <c r="CS22" s="862"/>
      <c r="CT22" s="862"/>
      <c r="CU22" s="862"/>
      <c r="CV22" s="862"/>
      <c r="CW22" s="862"/>
      <c r="CX22" s="862"/>
      <c r="CY22" s="862"/>
      <c r="CZ22" s="862"/>
      <c r="DA22" s="862"/>
      <c r="DB22" s="862"/>
      <c r="DC22" s="862"/>
      <c r="DG22" s="83"/>
      <c r="DH22" s="83"/>
      <c r="DI22" s="83"/>
      <c r="DJ22" s="83"/>
      <c r="DK22" s="83"/>
      <c r="DL22" s="83"/>
      <c r="DM22" s="862"/>
      <c r="DN22" s="862"/>
      <c r="DO22" s="862"/>
      <c r="DP22" s="862"/>
      <c r="DQ22" s="862"/>
      <c r="DR22" s="862"/>
      <c r="DS22" s="862"/>
      <c r="DT22" s="862"/>
      <c r="DU22" s="862"/>
      <c r="DV22" s="862"/>
      <c r="DW22" s="862"/>
      <c r="DX22" s="862"/>
      <c r="DY22" s="862"/>
      <c r="DZ22" s="862"/>
      <c r="EA22" s="862"/>
      <c r="EB22" s="862"/>
      <c r="EC22" s="862"/>
      <c r="ED22" s="862"/>
      <c r="EE22" s="862"/>
      <c r="EF22" s="862"/>
      <c r="EG22" s="862"/>
      <c r="EH22" s="862"/>
      <c r="EI22" s="862"/>
      <c r="EJ22" s="862"/>
      <c r="EK22" s="862"/>
      <c r="EL22" s="862"/>
      <c r="EM22" s="862"/>
      <c r="EN22" s="862"/>
      <c r="EO22" s="862"/>
      <c r="EP22" s="862"/>
      <c r="EQ22" s="862"/>
      <c r="ER22" s="862"/>
      <c r="ES22" s="862"/>
      <c r="ET22" s="862"/>
      <c r="EU22" s="862"/>
      <c r="EV22" s="862"/>
      <c r="EW22" s="862"/>
      <c r="EX22" s="862"/>
      <c r="EY22" s="862"/>
      <c r="EZ22" s="862"/>
      <c r="FA22" s="862"/>
      <c r="FB22" s="862"/>
      <c r="FC22" s="862"/>
      <c r="FD22" s="862"/>
      <c r="FE22" s="862"/>
    </row>
    <row r="23" spans="9:66" ht="11.25" customHeight="1">
      <c r="I23" s="27"/>
      <c r="J23" s="27"/>
      <c r="BJ23" s="27"/>
      <c r="BK23" s="27"/>
      <c r="BL23" s="27"/>
      <c r="BM23" s="27"/>
      <c r="BN23" s="27"/>
    </row>
    <row r="24" ht="11.25" customHeight="1"/>
    <row r="25" ht="14.25" customHeight="1">
      <c r="A25" t="s">
        <v>485</v>
      </c>
    </row>
    <row r="26" ht="9" customHeight="1" thickBot="1"/>
    <row r="27" spans="1:103" ht="15.75" customHeight="1">
      <c r="A27" s="152" t="s">
        <v>34</v>
      </c>
      <c r="B27" s="136"/>
      <c r="C27" s="136"/>
      <c r="D27" s="136"/>
      <c r="E27" s="136"/>
      <c r="F27" s="136" t="s">
        <v>19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02" t="s">
        <v>486</v>
      </c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65"/>
      <c r="AD27" s="128" t="s">
        <v>487</v>
      </c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204"/>
    </row>
    <row r="28" spans="1:103" ht="15.75" customHeight="1">
      <c r="A28" s="459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04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77"/>
      <c r="AD28" s="118" t="s">
        <v>488</v>
      </c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 t="s">
        <v>489</v>
      </c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65"/>
      <c r="BC28" s="65"/>
      <c r="BD28" s="118" t="s">
        <v>490</v>
      </c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 t="s">
        <v>491</v>
      </c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 t="s">
        <v>492</v>
      </c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 t="s">
        <v>483</v>
      </c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9"/>
    </row>
    <row r="29" spans="1:104" ht="15.75" customHeight="1">
      <c r="A29" s="459"/>
      <c r="B29" s="118"/>
      <c r="C29" s="118"/>
      <c r="D29" s="118"/>
      <c r="E29" s="118"/>
      <c r="F29" s="118" t="s">
        <v>493</v>
      </c>
      <c r="G29" s="118"/>
      <c r="H29" s="118"/>
      <c r="I29" s="118"/>
      <c r="J29" s="118"/>
      <c r="K29" s="118"/>
      <c r="L29" s="118" t="s">
        <v>268</v>
      </c>
      <c r="M29" s="118"/>
      <c r="N29" s="118"/>
      <c r="O29" s="118"/>
      <c r="P29" s="118"/>
      <c r="Q29" s="118"/>
      <c r="R29" s="118" t="s">
        <v>494</v>
      </c>
      <c r="S29" s="118"/>
      <c r="T29" s="118"/>
      <c r="U29" s="118"/>
      <c r="V29" s="118"/>
      <c r="W29" s="118"/>
      <c r="X29" s="118" t="s">
        <v>268</v>
      </c>
      <c r="Y29" s="118"/>
      <c r="Z29" s="118"/>
      <c r="AA29" s="118"/>
      <c r="AB29" s="118"/>
      <c r="AC29" s="118"/>
      <c r="AD29" s="118" t="s">
        <v>494</v>
      </c>
      <c r="AE29" s="118"/>
      <c r="AF29" s="118"/>
      <c r="AG29" s="118"/>
      <c r="AH29" s="118"/>
      <c r="AI29" s="118"/>
      <c r="AJ29" s="118" t="s">
        <v>268</v>
      </c>
      <c r="AK29" s="118"/>
      <c r="AL29" s="118"/>
      <c r="AM29" s="118"/>
      <c r="AN29" s="118"/>
      <c r="AO29" s="118"/>
      <c r="AP29" s="118" t="s">
        <v>494</v>
      </c>
      <c r="AQ29" s="118"/>
      <c r="AR29" s="118"/>
      <c r="AS29" s="118"/>
      <c r="AT29" s="118"/>
      <c r="AU29" s="118"/>
      <c r="AV29" s="118" t="s">
        <v>268</v>
      </c>
      <c r="AW29" s="118"/>
      <c r="AX29" s="118"/>
      <c r="AY29" s="118"/>
      <c r="AZ29" s="118"/>
      <c r="BA29" s="118"/>
      <c r="BB29" s="1036"/>
      <c r="BC29" s="1036"/>
      <c r="BD29" s="118" t="s">
        <v>494</v>
      </c>
      <c r="BE29" s="118"/>
      <c r="BF29" s="118"/>
      <c r="BG29" s="118"/>
      <c r="BH29" s="118"/>
      <c r="BI29" s="118"/>
      <c r="BJ29" s="118" t="s">
        <v>268</v>
      </c>
      <c r="BK29" s="118"/>
      <c r="BL29" s="118"/>
      <c r="BM29" s="118"/>
      <c r="BN29" s="118"/>
      <c r="BO29" s="118"/>
      <c r="BP29" s="118" t="s">
        <v>494</v>
      </c>
      <c r="BQ29" s="118"/>
      <c r="BR29" s="118"/>
      <c r="BS29" s="118"/>
      <c r="BT29" s="118"/>
      <c r="BU29" s="118"/>
      <c r="BV29" s="118" t="s">
        <v>268</v>
      </c>
      <c r="BW29" s="118"/>
      <c r="BX29" s="118"/>
      <c r="BY29" s="118"/>
      <c r="BZ29" s="118"/>
      <c r="CA29" s="118"/>
      <c r="CB29" s="118" t="s">
        <v>494</v>
      </c>
      <c r="CC29" s="118"/>
      <c r="CD29" s="118"/>
      <c r="CE29" s="118"/>
      <c r="CF29" s="118"/>
      <c r="CG29" s="118"/>
      <c r="CH29" s="118" t="s">
        <v>268</v>
      </c>
      <c r="CI29" s="118"/>
      <c r="CJ29" s="118"/>
      <c r="CK29" s="118"/>
      <c r="CL29" s="118"/>
      <c r="CM29" s="118"/>
      <c r="CN29" s="118" t="s">
        <v>494</v>
      </c>
      <c r="CO29" s="118"/>
      <c r="CP29" s="118"/>
      <c r="CQ29" s="118"/>
      <c r="CR29" s="118"/>
      <c r="CS29" s="118"/>
      <c r="CT29" s="118" t="s">
        <v>268</v>
      </c>
      <c r="CU29" s="118"/>
      <c r="CV29" s="118"/>
      <c r="CW29" s="118"/>
      <c r="CX29" s="118"/>
      <c r="CY29" s="119"/>
      <c r="CZ29" s="455"/>
    </row>
    <row r="30" spans="1:104" ht="12" customHeight="1">
      <c r="A30" s="1037" t="s">
        <v>261</v>
      </c>
      <c r="B30" s="1038"/>
      <c r="C30" s="1038"/>
      <c r="D30" s="1038"/>
      <c r="E30" s="1039"/>
      <c r="F30" s="1040" t="s">
        <v>263</v>
      </c>
      <c r="G30" s="1041"/>
      <c r="H30" s="1041"/>
      <c r="I30" s="1041"/>
      <c r="J30" s="1041"/>
      <c r="K30" s="1042"/>
      <c r="L30" s="1043" t="s">
        <v>495</v>
      </c>
      <c r="M30" s="1044"/>
      <c r="N30" s="1044"/>
      <c r="O30" s="1044"/>
      <c r="P30" s="1044"/>
      <c r="Q30" s="1045"/>
      <c r="R30" s="1040" t="s">
        <v>263</v>
      </c>
      <c r="S30" s="1041"/>
      <c r="T30" s="1041"/>
      <c r="U30" s="1041"/>
      <c r="V30" s="1041"/>
      <c r="W30" s="1042"/>
      <c r="X30" s="1043" t="s">
        <v>495</v>
      </c>
      <c r="Y30" s="1044"/>
      <c r="Z30" s="1044"/>
      <c r="AA30" s="1044"/>
      <c r="AB30" s="1044"/>
      <c r="AC30" s="1045"/>
      <c r="AD30" s="1040" t="s">
        <v>263</v>
      </c>
      <c r="AE30" s="1041"/>
      <c r="AF30" s="1041"/>
      <c r="AG30" s="1041"/>
      <c r="AH30" s="1041"/>
      <c r="AI30" s="1042"/>
      <c r="AJ30" s="1043" t="s">
        <v>495</v>
      </c>
      <c r="AK30" s="1044"/>
      <c r="AL30" s="1044"/>
      <c r="AM30" s="1044"/>
      <c r="AN30" s="1044"/>
      <c r="AO30" s="1045"/>
      <c r="AP30" s="1040" t="s">
        <v>263</v>
      </c>
      <c r="AQ30" s="1041"/>
      <c r="AR30" s="1041"/>
      <c r="AS30" s="1041"/>
      <c r="AT30" s="1041"/>
      <c r="AU30" s="1042"/>
      <c r="AV30" s="1043" t="s">
        <v>495</v>
      </c>
      <c r="AW30" s="1044"/>
      <c r="AX30" s="1044"/>
      <c r="AY30" s="1044"/>
      <c r="AZ30" s="1044"/>
      <c r="BA30" s="1045"/>
      <c r="BB30" s="1036"/>
      <c r="BC30" s="1036"/>
      <c r="BD30" s="1040" t="s">
        <v>263</v>
      </c>
      <c r="BE30" s="1041"/>
      <c r="BF30" s="1041"/>
      <c r="BG30" s="1041"/>
      <c r="BH30" s="1041"/>
      <c r="BI30" s="1042"/>
      <c r="BJ30" s="1043" t="s">
        <v>495</v>
      </c>
      <c r="BK30" s="1044"/>
      <c r="BL30" s="1044"/>
      <c r="BM30" s="1044"/>
      <c r="BN30" s="1044"/>
      <c r="BO30" s="1045"/>
      <c r="BP30" s="1040" t="s">
        <v>263</v>
      </c>
      <c r="BQ30" s="1041"/>
      <c r="BR30" s="1041"/>
      <c r="BS30" s="1041"/>
      <c r="BT30" s="1041"/>
      <c r="BU30" s="1042"/>
      <c r="BV30" s="1043" t="s">
        <v>495</v>
      </c>
      <c r="BW30" s="1044"/>
      <c r="BX30" s="1044"/>
      <c r="BY30" s="1044"/>
      <c r="BZ30" s="1044"/>
      <c r="CA30" s="1045"/>
      <c r="CB30" s="1040" t="s">
        <v>263</v>
      </c>
      <c r="CC30" s="1041"/>
      <c r="CD30" s="1041"/>
      <c r="CE30" s="1041"/>
      <c r="CF30" s="1041"/>
      <c r="CG30" s="1042"/>
      <c r="CH30" s="1043" t="s">
        <v>495</v>
      </c>
      <c r="CI30" s="1044"/>
      <c r="CJ30" s="1044"/>
      <c r="CK30" s="1044"/>
      <c r="CL30" s="1044"/>
      <c r="CM30" s="1045"/>
      <c r="CN30" s="1040" t="s">
        <v>263</v>
      </c>
      <c r="CO30" s="1041"/>
      <c r="CP30" s="1041"/>
      <c r="CQ30" s="1041"/>
      <c r="CR30" s="1041"/>
      <c r="CS30" s="1042"/>
      <c r="CT30" s="1043" t="s">
        <v>495</v>
      </c>
      <c r="CU30" s="1044"/>
      <c r="CV30" s="1044"/>
      <c r="CW30" s="1044"/>
      <c r="CX30" s="1044"/>
      <c r="CY30" s="1046"/>
      <c r="CZ30" s="455"/>
    </row>
    <row r="31" spans="1:104" s="60" customFormat="1" ht="21" customHeight="1">
      <c r="A31" s="564" t="s">
        <v>496</v>
      </c>
      <c r="B31" s="1047"/>
      <c r="C31" s="1047"/>
      <c r="D31" s="1047"/>
      <c r="E31" s="1048"/>
      <c r="F31" s="1014">
        <f>SUM(F32:F43)</f>
        <v>312</v>
      </c>
      <c r="G31" s="1014"/>
      <c r="H31" s="1014"/>
      <c r="I31" s="1014"/>
      <c r="J31" s="1014"/>
      <c r="K31" s="1014"/>
      <c r="L31" s="1014">
        <f>SUM(L32:L43)</f>
        <v>168292</v>
      </c>
      <c r="M31" s="1014"/>
      <c r="N31" s="1014"/>
      <c r="O31" s="1014"/>
      <c r="P31" s="1014"/>
      <c r="Q31" s="1014"/>
      <c r="R31" s="1014">
        <f>SUM(R32:R43)</f>
        <v>59</v>
      </c>
      <c r="S31" s="1014"/>
      <c r="T31" s="1014"/>
      <c r="U31" s="1014"/>
      <c r="V31" s="1014"/>
      <c r="W31" s="1014"/>
      <c r="X31" s="1014">
        <f>SUM(X32:X43)</f>
        <v>6064</v>
      </c>
      <c r="Y31" s="1014"/>
      <c r="Z31" s="1014"/>
      <c r="AA31" s="1014"/>
      <c r="AB31" s="1014"/>
      <c r="AC31" s="1014"/>
      <c r="AD31" s="1014">
        <f>SUM(AD32:AD43)</f>
        <v>113</v>
      </c>
      <c r="AE31" s="1014"/>
      <c r="AF31" s="1014"/>
      <c r="AG31" s="1014"/>
      <c r="AH31" s="1014"/>
      <c r="AI31" s="1014"/>
      <c r="AJ31" s="1014">
        <f>SUM(AJ32:AJ43)</f>
        <v>27139</v>
      </c>
      <c r="AK31" s="1014"/>
      <c r="AL31" s="1014"/>
      <c r="AM31" s="1014"/>
      <c r="AN31" s="1014"/>
      <c r="AO31" s="1014"/>
      <c r="AP31" s="1014">
        <f>SUM(AP32:AP43)</f>
        <v>115</v>
      </c>
      <c r="AQ31" s="1014"/>
      <c r="AR31" s="1014"/>
      <c r="AS31" s="1014"/>
      <c r="AT31" s="1014"/>
      <c r="AU31" s="1014"/>
      <c r="AV31" s="1014">
        <f>SUM(AV32:AV43)</f>
        <v>12771</v>
      </c>
      <c r="AW31" s="1014"/>
      <c r="AX31" s="1014"/>
      <c r="AY31" s="1014"/>
      <c r="AZ31" s="1014"/>
      <c r="BA31" s="1014"/>
      <c r="BB31" s="1049"/>
      <c r="BC31" s="1049"/>
      <c r="BD31" s="1014">
        <f>SUM(BD32:BD43)</f>
        <v>155</v>
      </c>
      <c r="BE31" s="1014"/>
      <c r="BF31" s="1014"/>
      <c r="BG31" s="1014"/>
      <c r="BH31" s="1014"/>
      <c r="BI31" s="1014"/>
      <c r="BJ31" s="1014">
        <f>SUM(BJ32:BJ43)</f>
        <v>25368</v>
      </c>
      <c r="BK31" s="1014"/>
      <c r="BL31" s="1014"/>
      <c r="BM31" s="1014"/>
      <c r="BN31" s="1014"/>
      <c r="BO31" s="1014"/>
      <c r="BP31" s="1014">
        <f>SUM(BP32:BP43)</f>
        <v>18</v>
      </c>
      <c r="BQ31" s="1014"/>
      <c r="BR31" s="1014"/>
      <c r="BS31" s="1014"/>
      <c r="BT31" s="1014"/>
      <c r="BU31" s="1014"/>
      <c r="BV31" s="1014">
        <f>SUM(BV32:BV43)</f>
        <v>43127</v>
      </c>
      <c r="BW31" s="1014"/>
      <c r="BX31" s="1014"/>
      <c r="BY31" s="1014"/>
      <c r="BZ31" s="1014"/>
      <c r="CA31" s="1014"/>
      <c r="CB31" s="1014">
        <f>SUM(CB32:CB43)</f>
        <v>173</v>
      </c>
      <c r="CC31" s="1014"/>
      <c r="CD31" s="1014"/>
      <c r="CE31" s="1014"/>
      <c r="CF31" s="1014"/>
      <c r="CG31" s="1014"/>
      <c r="CH31" s="1014">
        <f>SUM(CH32:CH43)</f>
        <v>32809</v>
      </c>
      <c r="CI31" s="1014"/>
      <c r="CJ31" s="1014"/>
      <c r="CK31" s="1014"/>
      <c r="CL31" s="1014"/>
      <c r="CM31" s="1014"/>
      <c r="CN31" s="1014">
        <f>SUM(CN32:CN43)</f>
        <v>119</v>
      </c>
      <c r="CO31" s="1014"/>
      <c r="CP31" s="1014"/>
      <c r="CQ31" s="1014"/>
      <c r="CR31" s="1014"/>
      <c r="CS31" s="1014"/>
      <c r="CT31" s="1014">
        <f>SUM(CT32:CT43)</f>
        <v>21014</v>
      </c>
      <c r="CU31" s="1014"/>
      <c r="CV31" s="1014"/>
      <c r="CW31" s="1014"/>
      <c r="CX31" s="1014"/>
      <c r="CY31" s="1050"/>
      <c r="CZ31" s="231"/>
    </row>
    <row r="32" spans="1:104" s="60" customFormat="1" ht="21" customHeight="1">
      <c r="A32" s="553" t="s">
        <v>86</v>
      </c>
      <c r="B32" s="727"/>
      <c r="C32" s="727"/>
      <c r="D32" s="727"/>
      <c r="E32" s="727"/>
      <c r="F32" s="1014">
        <v>30</v>
      </c>
      <c r="G32" s="1014"/>
      <c r="H32" s="1014"/>
      <c r="I32" s="1014"/>
      <c r="J32" s="1014"/>
      <c r="K32" s="1014"/>
      <c r="L32" s="1014">
        <v>6246</v>
      </c>
      <c r="M32" s="1014"/>
      <c r="N32" s="1014"/>
      <c r="O32" s="1014"/>
      <c r="P32" s="1014"/>
      <c r="Q32" s="1014"/>
      <c r="R32" s="1014">
        <v>7</v>
      </c>
      <c r="S32" s="1014"/>
      <c r="T32" s="1014"/>
      <c r="U32" s="1014"/>
      <c r="V32" s="1014"/>
      <c r="W32" s="1014"/>
      <c r="X32" s="1014">
        <v>479</v>
      </c>
      <c r="Y32" s="1014"/>
      <c r="Z32" s="1014"/>
      <c r="AA32" s="1014"/>
      <c r="AB32" s="1014"/>
      <c r="AC32" s="1014"/>
      <c r="AD32" s="1014">
        <v>9</v>
      </c>
      <c r="AE32" s="1014"/>
      <c r="AF32" s="1014"/>
      <c r="AG32" s="1014"/>
      <c r="AH32" s="1014"/>
      <c r="AI32" s="1014"/>
      <c r="AJ32" s="1014">
        <v>1010</v>
      </c>
      <c r="AK32" s="1014"/>
      <c r="AL32" s="1014"/>
      <c r="AM32" s="1014"/>
      <c r="AN32" s="1014"/>
      <c r="AO32" s="1014"/>
      <c r="AP32" s="1014">
        <v>11</v>
      </c>
      <c r="AQ32" s="1014"/>
      <c r="AR32" s="1014"/>
      <c r="AS32" s="1014"/>
      <c r="AT32" s="1014"/>
      <c r="AU32" s="1014"/>
      <c r="AV32" s="1014">
        <v>886</v>
      </c>
      <c r="AW32" s="1014"/>
      <c r="AX32" s="1014"/>
      <c r="AY32" s="1014"/>
      <c r="AZ32" s="1014"/>
      <c r="BA32" s="1014"/>
      <c r="BB32" s="1049"/>
      <c r="BC32" s="1049"/>
      <c r="BD32" s="1014">
        <v>11</v>
      </c>
      <c r="BE32" s="1014"/>
      <c r="BF32" s="1014"/>
      <c r="BG32" s="1014"/>
      <c r="BH32" s="1014"/>
      <c r="BI32" s="1014"/>
      <c r="BJ32" s="1014">
        <v>1340</v>
      </c>
      <c r="BK32" s="1014"/>
      <c r="BL32" s="1014"/>
      <c r="BM32" s="1014"/>
      <c r="BN32" s="1014"/>
      <c r="BO32" s="1014"/>
      <c r="BP32" s="1014">
        <v>0</v>
      </c>
      <c r="BQ32" s="1014"/>
      <c r="BR32" s="1014"/>
      <c r="BS32" s="1014"/>
      <c r="BT32" s="1014"/>
      <c r="BU32" s="1014"/>
      <c r="BV32" s="1014">
        <v>0</v>
      </c>
      <c r="BW32" s="1014"/>
      <c r="BX32" s="1014"/>
      <c r="BY32" s="1014"/>
      <c r="BZ32" s="1014"/>
      <c r="CA32" s="1014"/>
      <c r="CB32" s="1014">
        <v>15</v>
      </c>
      <c r="CC32" s="1014"/>
      <c r="CD32" s="1014"/>
      <c r="CE32" s="1014"/>
      <c r="CF32" s="1014"/>
      <c r="CG32" s="1014"/>
      <c r="CH32" s="1014">
        <v>2314</v>
      </c>
      <c r="CI32" s="1014"/>
      <c r="CJ32" s="1014"/>
      <c r="CK32" s="1014"/>
      <c r="CL32" s="1014"/>
      <c r="CM32" s="1014"/>
      <c r="CN32" s="1014">
        <v>5</v>
      </c>
      <c r="CO32" s="1014"/>
      <c r="CP32" s="1014"/>
      <c r="CQ32" s="1014"/>
      <c r="CR32" s="1014"/>
      <c r="CS32" s="1014"/>
      <c r="CT32" s="1014">
        <v>217</v>
      </c>
      <c r="CU32" s="1014"/>
      <c r="CV32" s="1014"/>
      <c r="CW32" s="1014"/>
      <c r="CX32" s="1014"/>
      <c r="CY32" s="1050"/>
      <c r="CZ32" s="231"/>
    </row>
    <row r="33" spans="1:103" s="60" customFormat="1" ht="21" customHeight="1">
      <c r="A33" s="553" t="s">
        <v>69</v>
      </c>
      <c r="B33" s="727"/>
      <c r="C33" s="727"/>
      <c r="D33" s="727"/>
      <c r="E33" s="727"/>
      <c r="F33" s="1014">
        <v>13</v>
      </c>
      <c r="G33" s="1014"/>
      <c r="H33" s="1014"/>
      <c r="I33" s="1014"/>
      <c r="J33" s="1014"/>
      <c r="K33" s="1014"/>
      <c r="L33" s="1014">
        <v>4589</v>
      </c>
      <c r="M33" s="1014"/>
      <c r="N33" s="1014"/>
      <c r="O33" s="1014"/>
      <c r="P33" s="1014"/>
      <c r="Q33" s="1014"/>
      <c r="R33" s="1014">
        <v>2</v>
      </c>
      <c r="S33" s="1014"/>
      <c r="T33" s="1014"/>
      <c r="U33" s="1014"/>
      <c r="V33" s="1014"/>
      <c r="W33" s="1014"/>
      <c r="X33" s="1014">
        <v>726</v>
      </c>
      <c r="Y33" s="1014"/>
      <c r="Z33" s="1014"/>
      <c r="AA33" s="1014"/>
      <c r="AB33" s="1014"/>
      <c r="AC33" s="1014"/>
      <c r="AD33" s="1014">
        <v>5</v>
      </c>
      <c r="AE33" s="1014"/>
      <c r="AF33" s="1014"/>
      <c r="AG33" s="1014"/>
      <c r="AH33" s="1014"/>
      <c r="AI33" s="1014"/>
      <c r="AJ33" s="1014">
        <v>940</v>
      </c>
      <c r="AK33" s="1014"/>
      <c r="AL33" s="1014"/>
      <c r="AM33" s="1014"/>
      <c r="AN33" s="1014"/>
      <c r="AO33" s="1014"/>
      <c r="AP33" s="1014">
        <v>7</v>
      </c>
      <c r="AQ33" s="1014"/>
      <c r="AR33" s="1014"/>
      <c r="AS33" s="1014"/>
      <c r="AT33" s="1014"/>
      <c r="AU33" s="1014"/>
      <c r="AV33" s="1014">
        <v>758</v>
      </c>
      <c r="AW33" s="1014"/>
      <c r="AX33" s="1014"/>
      <c r="AY33" s="1014"/>
      <c r="AZ33" s="1014"/>
      <c r="BA33" s="1014"/>
      <c r="BB33" s="793"/>
      <c r="BC33" s="793"/>
      <c r="BD33" s="1014">
        <v>5</v>
      </c>
      <c r="BE33" s="1014"/>
      <c r="BF33" s="1014"/>
      <c r="BG33" s="1014"/>
      <c r="BH33" s="1014"/>
      <c r="BI33" s="1014"/>
      <c r="BJ33" s="1014">
        <v>721</v>
      </c>
      <c r="BK33" s="1014"/>
      <c r="BL33" s="1014"/>
      <c r="BM33" s="1014"/>
      <c r="BN33" s="1014"/>
      <c r="BO33" s="1014"/>
      <c r="BP33" s="1051">
        <v>0</v>
      </c>
      <c r="BQ33" s="1051"/>
      <c r="BR33" s="1051"/>
      <c r="BS33" s="1051"/>
      <c r="BT33" s="1051"/>
      <c r="BU33" s="1051"/>
      <c r="BV33" s="1051">
        <v>0</v>
      </c>
      <c r="BW33" s="1051"/>
      <c r="BX33" s="1051"/>
      <c r="BY33" s="1051"/>
      <c r="BZ33" s="1051"/>
      <c r="CA33" s="1051"/>
      <c r="CB33" s="1014">
        <v>6</v>
      </c>
      <c r="CC33" s="1014"/>
      <c r="CD33" s="1014"/>
      <c r="CE33" s="1014"/>
      <c r="CF33" s="1014"/>
      <c r="CG33" s="1014"/>
      <c r="CH33" s="1014">
        <v>1065</v>
      </c>
      <c r="CI33" s="1014"/>
      <c r="CJ33" s="1014"/>
      <c r="CK33" s="1014"/>
      <c r="CL33" s="1014"/>
      <c r="CM33" s="1014"/>
      <c r="CN33" s="1014">
        <v>4</v>
      </c>
      <c r="CO33" s="1014"/>
      <c r="CP33" s="1014"/>
      <c r="CQ33" s="1014"/>
      <c r="CR33" s="1014"/>
      <c r="CS33" s="1014"/>
      <c r="CT33" s="1014">
        <v>379</v>
      </c>
      <c r="CU33" s="1014"/>
      <c r="CV33" s="1014"/>
      <c r="CW33" s="1014"/>
      <c r="CX33" s="1014"/>
      <c r="CY33" s="1050"/>
    </row>
    <row r="34" spans="1:103" s="60" customFormat="1" ht="21" customHeight="1">
      <c r="A34" s="553" t="s">
        <v>88</v>
      </c>
      <c r="B34" s="727"/>
      <c r="C34" s="727"/>
      <c r="D34" s="727"/>
      <c r="E34" s="727"/>
      <c r="F34" s="1014">
        <v>12</v>
      </c>
      <c r="G34" s="1014"/>
      <c r="H34" s="1014"/>
      <c r="I34" s="1014"/>
      <c r="J34" s="1014"/>
      <c r="K34" s="1014"/>
      <c r="L34" s="1014">
        <v>2810</v>
      </c>
      <c r="M34" s="1014"/>
      <c r="N34" s="1014"/>
      <c r="O34" s="1014"/>
      <c r="P34" s="1014"/>
      <c r="Q34" s="1014"/>
      <c r="R34" s="1014">
        <v>2</v>
      </c>
      <c r="S34" s="1014"/>
      <c r="T34" s="1014"/>
      <c r="U34" s="1014"/>
      <c r="V34" s="1014"/>
      <c r="W34" s="1014"/>
      <c r="X34" s="1014">
        <v>210</v>
      </c>
      <c r="Y34" s="1014"/>
      <c r="Z34" s="1014"/>
      <c r="AA34" s="1014"/>
      <c r="AB34" s="1014"/>
      <c r="AC34" s="1014"/>
      <c r="AD34" s="1014">
        <v>4</v>
      </c>
      <c r="AE34" s="1014"/>
      <c r="AF34" s="1014"/>
      <c r="AG34" s="1014"/>
      <c r="AH34" s="1014"/>
      <c r="AI34" s="1014"/>
      <c r="AJ34" s="1014">
        <v>630</v>
      </c>
      <c r="AK34" s="1014"/>
      <c r="AL34" s="1014"/>
      <c r="AM34" s="1014"/>
      <c r="AN34" s="1014"/>
      <c r="AO34" s="1014"/>
      <c r="AP34" s="1014">
        <v>4</v>
      </c>
      <c r="AQ34" s="1014"/>
      <c r="AR34" s="1014"/>
      <c r="AS34" s="1014"/>
      <c r="AT34" s="1014"/>
      <c r="AU34" s="1014"/>
      <c r="AV34" s="1014">
        <v>280</v>
      </c>
      <c r="AW34" s="1014"/>
      <c r="AX34" s="1014"/>
      <c r="AY34" s="1014"/>
      <c r="AZ34" s="1014"/>
      <c r="BA34" s="1014"/>
      <c r="BB34" s="793"/>
      <c r="BC34" s="793"/>
      <c r="BD34" s="1014">
        <v>7</v>
      </c>
      <c r="BE34" s="1014"/>
      <c r="BF34" s="1014"/>
      <c r="BG34" s="1014"/>
      <c r="BH34" s="1014"/>
      <c r="BI34" s="1014"/>
      <c r="BJ34" s="1014">
        <v>970</v>
      </c>
      <c r="BK34" s="1014"/>
      <c r="BL34" s="1014"/>
      <c r="BM34" s="1014"/>
      <c r="BN34" s="1014"/>
      <c r="BO34" s="1014"/>
      <c r="BP34" s="1014">
        <v>0</v>
      </c>
      <c r="BQ34" s="1014"/>
      <c r="BR34" s="1014"/>
      <c r="BS34" s="1014"/>
      <c r="BT34" s="1014"/>
      <c r="BU34" s="1014"/>
      <c r="BV34" s="1014">
        <v>0</v>
      </c>
      <c r="BW34" s="1014"/>
      <c r="BX34" s="1014"/>
      <c r="BY34" s="1014"/>
      <c r="BZ34" s="1014"/>
      <c r="CA34" s="1014"/>
      <c r="CB34" s="1014">
        <v>5</v>
      </c>
      <c r="CC34" s="1014"/>
      <c r="CD34" s="1014"/>
      <c r="CE34" s="1014"/>
      <c r="CF34" s="1014"/>
      <c r="CG34" s="1014"/>
      <c r="CH34" s="1014">
        <v>420</v>
      </c>
      <c r="CI34" s="1014"/>
      <c r="CJ34" s="1014"/>
      <c r="CK34" s="1014"/>
      <c r="CL34" s="1014"/>
      <c r="CM34" s="1014"/>
      <c r="CN34" s="1014">
        <v>4</v>
      </c>
      <c r="CO34" s="1014"/>
      <c r="CP34" s="1014"/>
      <c r="CQ34" s="1014"/>
      <c r="CR34" s="1014"/>
      <c r="CS34" s="1014"/>
      <c r="CT34" s="1014">
        <v>300</v>
      </c>
      <c r="CU34" s="1014"/>
      <c r="CV34" s="1014"/>
      <c r="CW34" s="1014"/>
      <c r="CX34" s="1014"/>
      <c r="CY34" s="1050"/>
    </row>
    <row r="35" spans="1:103" s="60" customFormat="1" ht="21" customHeight="1">
      <c r="A35" s="553" t="s">
        <v>89</v>
      </c>
      <c r="B35" s="727"/>
      <c r="C35" s="727"/>
      <c r="D35" s="727"/>
      <c r="E35" s="727"/>
      <c r="F35" s="1014">
        <v>3</v>
      </c>
      <c r="G35" s="1014"/>
      <c r="H35" s="1014"/>
      <c r="I35" s="1014"/>
      <c r="J35" s="1014"/>
      <c r="K35" s="1014"/>
      <c r="L35" s="1014">
        <v>560</v>
      </c>
      <c r="M35" s="1014"/>
      <c r="N35" s="1014"/>
      <c r="O35" s="1014"/>
      <c r="P35" s="1014"/>
      <c r="Q35" s="1014"/>
      <c r="R35" s="1014">
        <v>0</v>
      </c>
      <c r="S35" s="1014"/>
      <c r="T35" s="1014"/>
      <c r="U35" s="1014"/>
      <c r="V35" s="1014"/>
      <c r="W35" s="1014"/>
      <c r="X35" s="1014">
        <v>0</v>
      </c>
      <c r="Y35" s="1014"/>
      <c r="Z35" s="1014"/>
      <c r="AA35" s="1014"/>
      <c r="AB35" s="1014"/>
      <c r="AC35" s="1014"/>
      <c r="AD35" s="1014">
        <v>0</v>
      </c>
      <c r="AE35" s="1014"/>
      <c r="AF35" s="1014"/>
      <c r="AG35" s="1014"/>
      <c r="AH35" s="1014"/>
      <c r="AI35" s="1014"/>
      <c r="AJ35" s="1014">
        <v>0</v>
      </c>
      <c r="AK35" s="1014"/>
      <c r="AL35" s="1014"/>
      <c r="AM35" s="1014"/>
      <c r="AN35" s="1014"/>
      <c r="AO35" s="1014"/>
      <c r="AP35" s="1014">
        <v>0</v>
      </c>
      <c r="AQ35" s="1014"/>
      <c r="AR35" s="1014"/>
      <c r="AS35" s="1014"/>
      <c r="AT35" s="1014"/>
      <c r="AU35" s="1014"/>
      <c r="AV35" s="1014">
        <v>0</v>
      </c>
      <c r="AW35" s="1014"/>
      <c r="AX35" s="1014"/>
      <c r="AY35" s="1014"/>
      <c r="AZ35" s="1014"/>
      <c r="BA35" s="1014"/>
      <c r="BB35" s="793"/>
      <c r="BC35" s="793"/>
      <c r="BD35" s="1014">
        <v>2</v>
      </c>
      <c r="BE35" s="1014"/>
      <c r="BF35" s="1014"/>
      <c r="BG35" s="1014"/>
      <c r="BH35" s="1014"/>
      <c r="BI35" s="1014"/>
      <c r="BJ35" s="1014">
        <v>160</v>
      </c>
      <c r="BK35" s="1014"/>
      <c r="BL35" s="1014"/>
      <c r="BM35" s="1014"/>
      <c r="BN35" s="1014"/>
      <c r="BO35" s="1014"/>
      <c r="BP35" s="1014">
        <v>0</v>
      </c>
      <c r="BQ35" s="1014"/>
      <c r="BR35" s="1014"/>
      <c r="BS35" s="1014"/>
      <c r="BT35" s="1014"/>
      <c r="BU35" s="1014"/>
      <c r="BV35" s="1014">
        <v>0</v>
      </c>
      <c r="BW35" s="1014"/>
      <c r="BX35" s="1014"/>
      <c r="BY35" s="1014"/>
      <c r="BZ35" s="1014"/>
      <c r="CA35" s="1014"/>
      <c r="CB35" s="1014">
        <v>1</v>
      </c>
      <c r="CC35" s="1014"/>
      <c r="CD35" s="1014"/>
      <c r="CE35" s="1014"/>
      <c r="CF35" s="1014"/>
      <c r="CG35" s="1014"/>
      <c r="CH35" s="1014">
        <v>50</v>
      </c>
      <c r="CI35" s="1014"/>
      <c r="CJ35" s="1014"/>
      <c r="CK35" s="1014"/>
      <c r="CL35" s="1014"/>
      <c r="CM35" s="1014"/>
      <c r="CN35" s="1014">
        <v>2</v>
      </c>
      <c r="CO35" s="1014"/>
      <c r="CP35" s="1014"/>
      <c r="CQ35" s="1014"/>
      <c r="CR35" s="1014"/>
      <c r="CS35" s="1014"/>
      <c r="CT35" s="1014">
        <v>350</v>
      </c>
      <c r="CU35" s="1014"/>
      <c r="CV35" s="1014"/>
      <c r="CW35" s="1014"/>
      <c r="CX35" s="1014"/>
      <c r="CY35" s="1050"/>
    </row>
    <row r="36" spans="1:103" s="60" customFormat="1" ht="21" customHeight="1">
      <c r="A36" s="553" t="s">
        <v>90</v>
      </c>
      <c r="B36" s="727"/>
      <c r="C36" s="727"/>
      <c r="D36" s="727"/>
      <c r="E36" s="727"/>
      <c r="F36" s="1014">
        <v>1</v>
      </c>
      <c r="G36" s="1014"/>
      <c r="H36" s="1014"/>
      <c r="I36" s="1014"/>
      <c r="J36" s="1014"/>
      <c r="K36" s="1014"/>
      <c r="L36" s="1014">
        <v>20</v>
      </c>
      <c r="M36" s="1014"/>
      <c r="N36" s="1014"/>
      <c r="O36" s="1014"/>
      <c r="P36" s="1014"/>
      <c r="Q36" s="1014"/>
      <c r="R36" s="1051">
        <v>0</v>
      </c>
      <c r="S36" s="1051"/>
      <c r="T36" s="1051"/>
      <c r="U36" s="1051"/>
      <c r="V36" s="1051"/>
      <c r="W36" s="1051"/>
      <c r="X36" s="1051">
        <v>0</v>
      </c>
      <c r="Y36" s="1051"/>
      <c r="Z36" s="1051"/>
      <c r="AA36" s="1051"/>
      <c r="AB36" s="1051"/>
      <c r="AC36" s="1051"/>
      <c r="AD36" s="1051">
        <v>0</v>
      </c>
      <c r="AE36" s="1051"/>
      <c r="AF36" s="1051"/>
      <c r="AG36" s="1051"/>
      <c r="AH36" s="1051"/>
      <c r="AI36" s="1051"/>
      <c r="AJ36" s="1051">
        <v>0</v>
      </c>
      <c r="AK36" s="1051"/>
      <c r="AL36" s="1051"/>
      <c r="AM36" s="1051"/>
      <c r="AN36" s="1051"/>
      <c r="AO36" s="1051"/>
      <c r="AP36" s="1014">
        <v>1</v>
      </c>
      <c r="AQ36" s="1014"/>
      <c r="AR36" s="1014"/>
      <c r="AS36" s="1014"/>
      <c r="AT36" s="1014"/>
      <c r="AU36" s="1014"/>
      <c r="AV36" s="1014">
        <v>20</v>
      </c>
      <c r="AW36" s="1014"/>
      <c r="AX36" s="1014"/>
      <c r="AY36" s="1014"/>
      <c r="AZ36" s="1014"/>
      <c r="BA36" s="1014"/>
      <c r="BB36" s="793"/>
      <c r="BC36" s="793"/>
      <c r="BD36" s="1014">
        <v>0</v>
      </c>
      <c r="BE36" s="1014"/>
      <c r="BF36" s="1014"/>
      <c r="BG36" s="1014"/>
      <c r="BH36" s="1014"/>
      <c r="BI36" s="1014"/>
      <c r="BJ36" s="1014">
        <v>0</v>
      </c>
      <c r="BK36" s="1014"/>
      <c r="BL36" s="1014"/>
      <c r="BM36" s="1014"/>
      <c r="BN36" s="1014"/>
      <c r="BO36" s="1014"/>
      <c r="BP36" s="1052">
        <v>0</v>
      </c>
      <c r="BQ36" s="1053"/>
      <c r="BR36" s="1053"/>
      <c r="BS36" s="1053"/>
      <c r="BT36" s="1053"/>
      <c r="BU36" s="1054"/>
      <c r="BV36" s="1052">
        <v>0</v>
      </c>
      <c r="BW36" s="1053"/>
      <c r="BX36" s="1053"/>
      <c r="BY36" s="1053"/>
      <c r="BZ36" s="1053"/>
      <c r="CA36" s="1054"/>
      <c r="CB36" s="1014">
        <v>0</v>
      </c>
      <c r="CC36" s="1014"/>
      <c r="CD36" s="1014"/>
      <c r="CE36" s="1014"/>
      <c r="CF36" s="1014"/>
      <c r="CG36" s="1014"/>
      <c r="CH36" s="1014">
        <v>0</v>
      </c>
      <c r="CI36" s="1014"/>
      <c r="CJ36" s="1014"/>
      <c r="CK36" s="1014"/>
      <c r="CL36" s="1014"/>
      <c r="CM36" s="1014"/>
      <c r="CN36" s="1014">
        <v>0</v>
      </c>
      <c r="CO36" s="1014"/>
      <c r="CP36" s="1014"/>
      <c r="CQ36" s="1014"/>
      <c r="CR36" s="1014"/>
      <c r="CS36" s="1014"/>
      <c r="CT36" s="1014">
        <v>0</v>
      </c>
      <c r="CU36" s="1014"/>
      <c r="CV36" s="1014"/>
      <c r="CW36" s="1014"/>
      <c r="CX36" s="1014"/>
      <c r="CY36" s="1050"/>
    </row>
    <row r="37" spans="1:103" s="60" customFormat="1" ht="21" customHeight="1">
      <c r="A37" s="553" t="s">
        <v>91</v>
      </c>
      <c r="B37" s="727"/>
      <c r="C37" s="727"/>
      <c r="D37" s="727"/>
      <c r="E37" s="727"/>
      <c r="F37" s="1014">
        <v>51</v>
      </c>
      <c r="G37" s="1014"/>
      <c r="H37" s="1014"/>
      <c r="I37" s="1014"/>
      <c r="J37" s="1014"/>
      <c r="K37" s="1014"/>
      <c r="L37" s="1014">
        <v>24471</v>
      </c>
      <c r="M37" s="1014"/>
      <c r="N37" s="1014"/>
      <c r="O37" s="1014"/>
      <c r="P37" s="1014"/>
      <c r="Q37" s="1014"/>
      <c r="R37" s="1014">
        <v>6</v>
      </c>
      <c r="S37" s="1014"/>
      <c r="T37" s="1014"/>
      <c r="U37" s="1014"/>
      <c r="V37" s="1014"/>
      <c r="W37" s="1014"/>
      <c r="X37" s="1014">
        <v>1015</v>
      </c>
      <c r="Y37" s="1014"/>
      <c r="Z37" s="1014"/>
      <c r="AA37" s="1014"/>
      <c r="AB37" s="1014"/>
      <c r="AC37" s="1014"/>
      <c r="AD37" s="1014">
        <v>18</v>
      </c>
      <c r="AE37" s="1014"/>
      <c r="AF37" s="1014"/>
      <c r="AG37" s="1014"/>
      <c r="AH37" s="1014"/>
      <c r="AI37" s="1014"/>
      <c r="AJ37" s="1014">
        <v>3770</v>
      </c>
      <c r="AK37" s="1014"/>
      <c r="AL37" s="1014"/>
      <c r="AM37" s="1014"/>
      <c r="AN37" s="1014"/>
      <c r="AO37" s="1014"/>
      <c r="AP37" s="1014">
        <v>20</v>
      </c>
      <c r="AQ37" s="1014"/>
      <c r="AR37" s="1014"/>
      <c r="AS37" s="1014"/>
      <c r="AT37" s="1014"/>
      <c r="AU37" s="1014"/>
      <c r="AV37" s="1014">
        <v>1995</v>
      </c>
      <c r="AW37" s="1014"/>
      <c r="AX37" s="1014"/>
      <c r="AY37" s="1014"/>
      <c r="AZ37" s="1014"/>
      <c r="BA37" s="1014"/>
      <c r="BB37" s="793"/>
      <c r="BC37" s="793"/>
      <c r="BD37" s="1014">
        <v>28</v>
      </c>
      <c r="BE37" s="1014"/>
      <c r="BF37" s="1014"/>
      <c r="BG37" s="1014"/>
      <c r="BH37" s="1014"/>
      <c r="BI37" s="1014"/>
      <c r="BJ37" s="1014">
        <v>5507</v>
      </c>
      <c r="BK37" s="1014"/>
      <c r="BL37" s="1014"/>
      <c r="BM37" s="1014"/>
      <c r="BN37" s="1014"/>
      <c r="BO37" s="1014"/>
      <c r="BP37" s="1014">
        <v>1</v>
      </c>
      <c r="BQ37" s="1014"/>
      <c r="BR37" s="1014"/>
      <c r="BS37" s="1014"/>
      <c r="BT37" s="1014"/>
      <c r="BU37" s="1014"/>
      <c r="BV37" s="1014">
        <v>25</v>
      </c>
      <c r="BW37" s="1014"/>
      <c r="BX37" s="1014"/>
      <c r="BY37" s="1014"/>
      <c r="BZ37" s="1014"/>
      <c r="CA37" s="1014"/>
      <c r="CB37" s="1014">
        <v>25</v>
      </c>
      <c r="CC37" s="1014"/>
      <c r="CD37" s="1014"/>
      <c r="CE37" s="1014"/>
      <c r="CF37" s="1014"/>
      <c r="CG37" s="1014"/>
      <c r="CH37" s="1014">
        <v>6950</v>
      </c>
      <c r="CI37" s="1014"/>
      <c r="CJ37" s="1014"/>
      <c r="CK37" s="1014"/>
      <c r="CL37" s="1014"/>
      <c r="CM37" s="1014"/>
      <c r="CN37" s="1014">
        <v>20</v>
      </c>
      <c r="CO37" s="1014"/>
      <c r="CP37" s="1014"/>
      <c r="CQ37" s="1014"/>
      <c r="CR37" s="1014"/>
      <c r="CS37" s="1014"/>
      <c r="CT37" s="1014">
        <v>5209</v>
      </c>
      <c r="CU37" s="1014"/>
      <c r="CV37" s="1014"/>
      <c r="CW37" s="1014"/>
      <c r="CX37" s="1014"/>
      <c r="CY37" s="1050"/>
    </row>
    <row r="38" spans="1:103" s="60" customFormat="1" ht="21" customHeight="1">
      <c r="A38" s="553" t="s">
        <v>92</v>
      </c>
      <c r="B38" s="727"/>
      <c r="C38" s="727"/>
      <c r="D38" s="727"/>
      <c r="E38" s="727"/>
      <c r="F38" s="1014">
        <v>43</v>
      </c>
      <c r="G38" s="1014"/>
      <c r="H38" s="1014"/>
      <c r="I38" s="1014"/>
      <c r="J38" s="1014"/>
      <c r="K38" s="1014"/>
      <c r="L38" s="1014">
        <v>18830</v>
      </c>
      <c r="M38" s="1014"/>
      <c r="N38" s="1014"/>
      <c r="O38" s="1014"/>
      <c r="P38" s="1014"/>
      <c r="Q38" s="1014"/>
      <c r="R38" s="1014">
        <v>5</v>
      </c>
      <c r="S38" s="1014"/>
      <c r="T38" s="1014"/>
      <c r="U38" s="1014"/>
      <c r="V38" s="1014"/>
      <c r="W38" s="1014"/>
      <c r="X38" s="1014">
        <v>325</v>
      </c>
      <c r="Y38" s="1014"/>
      <c r="Z38" s="1014"/>
      <c r="AA38" s="1014"/>
      <c r="AB38" s="1014"/>
      <c r="AC38" s="1014"/>
      <c r="AD38" s="1014">
        <v>18</v>
      </c>
      <c r="AE38" s="1014"/>
      <c r="AF38" s="1014"/>
      <c r="AG38" s="1014"/>
      <c r="AH38" s="1014"/>
      <c r="AI38" s="1014"/>
      <c r="AJ38" s="1014">
        <v>4435</v>
      </c>
      <c r="AK38" s="1014"/>
      <c r="AL38" s="1014"/>
      <c r="AM38" s="1014"/>
      <c r="AN38" s="1014"/>
      <c r="AO38" s="1014"/>
      <c r="AP38" s="1014">
        <v>25</v>
      </c>
      <c r="AQ38" s="1014"/>
      <c r="AR38" s="1014"/>
      <c r="AS38" s="1014"/>
      <c r="AT38" s="1014"/>
      <c r="AU38" s="1014"/>
      <c r="AV38" s="1014">
        <v>2438</v>
      </c>
      <c r="AW38" s="1014"/>
      <c r="AX38" s="1014"/>
      <c r="AY38" s="1014"/>
      <c r="AZ38" s="1014"/>
      <c r="BA38" s="1014"/>
      <c r="BB38" s="793"/>
      <c r="BC38" s="793"/>
      <c r="BD38" s="1014">
        <v>30</v>
      </c>
      <c r="BE38" s="1014"/>
      <c r="BF38" s="1014"/>
      <c r="BG38" s="1014"/>
      <c r="BH38" s="1014"/>
      <c r="BI38" s="1014"/>
      <c r="BJ38" s="1014">
        <v>3822</v>
      </c>
      <c r="BK38" s="1014"/>
      <c r="BL38" s="1014"/>
      <c r="BM38" s="1014"/>
      <c r="BN38" s="1014"/>
      <c r="BO38" s="1014"/>
      <c r="BP38" s="1014">
        <v>3</v>
      </c>
      <c r="BQ38" s="1014"/>
      <c r="BR38" s="1014"/>
      <c r="BS38" s="1014"/>
      <c r="BT38" s="1014"/>
      <c r="BU38" s="1014"/>
      <c r="BV38" s="1014">
        <v>407</v>
      </c>
      <c r="BW38" s="1014"/>
      <c r="BX38" s="1014"/>
      <c r="BY38" s="1014"/>
      <c r="BZ38" s="1014"/>
      <c r="CA38" s="1014"/>
      <c r="CB38" s="1014">
        <v>30</v>
      </c>
      <c r="CC38" s="1014"/>
      <c r="CD38" s="1014"/>
      <c r="CE38" s="1014"/>
      <c r="CF38" s="1014"/>
      <c r="CG38" s="1014"/>
      <c r="CH38" s="1014">
        <v>5624</v>
      </c>
      <c r="CI38" s="1014"/>
      <c r="CJ38" s="1014"/>
      <c r="CK38" s="1014"/>
      <c r="CL38" s="1014"/>
      <c r="CM38" s="1014"/>
      <c r="CN38" s="1014">
        <v>17</v>
      </c>
      <c r="CO38" s="1014"/>
      <c r="CP38" s="1014"/>
      <c r="CQ38" s="1014"/>
      <c r="CR38" s="1014"/>
      <c r="CS38" s="1014"/>
      <c r="CT38" s="1014">
        <v>1779</v>
      </c>
      <c r="CU38" s="1014"/>
      <c r="CV38" s="1014"/>
      <c r="CW38" s="1014"/>
      <c r="CX38" s="1014"/>
      <c r="CY38" s="1050"/>
    </row>
    <row r="39" spans="1:103" s="60" customFormat="1" ht="21" customHeight="1">
      <c r="A39" s="553" t="s">
        <v>93</v>
      </c>
      <c r="B39" s="727"/>
      <c r="C39" s="727"/>
      <c r="D39" s="727"/>
      <c r="E39" s="727"/>
      <c r="F39" s="1014">
        <v>5</v>
      </c>
      <c r="G39" s="1014"/>
      <c r="H39" s="1014"/>
      <c r="I39" s="1014"/>
      <c r="J39" s="1014"/>
      <c r="K39" s="1014"/>
      <c r="L39" s="1014">
        <v>1594</v>
      </c>
      <c r="M39" s="1014"/>
      <c r="N39" s="1014"/>
      <c r="O39" s="1014"/>
      <c r="P39" s="1014"/>
      <c r="Q39" s="1014"/>
      <c r="R39" s="1014">
        <v>1</v>
      </c>
      <c r="S39" s="1014"/>
      <c r="T39" s="1014"/>
      <c r="U39" s="1014"/>
      <c r="V39" s="1014"/>
      <c r="W39" s="1014"/>
      <c r="X39" s="1014">
        <v>10</v>
      </c>
      <c r="Y39" s="1014"/>
      <c r="Z39" s="1014"/>
      <c r="AA39" s="1014"/>
      <c r="AB39" s="1014"/>
      <c r="AC39" s="1014"/>
      <c r="AD39" s="1014">
        <v>1</v>
      </c>
      <c r="AE39" s="1014"/>
      <c r="AF39" s="1014"/>
      <c r="AG39" s="1014"/>
      <c r="AH39" s="1014"/>
      <c r="AI39" s="1014"/>
      <c r="AJ39" s="1014">
        <v>310</v>
      </c>
      <c r="AK39" s="1014"/>
      <c r="AL39" s="1014"/>
      <c r="AM39" s="1014"/>
      <c r="AN39" s="1014"/>
      <c r="AO39" s="1014"/>
      <c r="AP39" s="1014">
        <v>2</v>
      </c>
      <c r="AQ39" s="1014"/>
      <c r="AR39" s="1014"/>
      <c r="AS39" s="1014"/>
      <c r="AT39" s="1014"/>
      <c r="AU39" s="1014"/>
      <c r="AV39" s="1014">
        <v>210</v>
      </c>
      <c r="AW39" s="1014"/>
      <c r="AX39" s="1014"/>
      <c r="AY39" s="1014"/>
      <c r="AZ39" s="1014"/>
      <c r="BA39" s="1014"/>
      <c r="BB39" s="793"/>
      <c r="BC39" s="793"/>
      <c r="BD39" s="1014">
        <v>4</v>
      </c>
      <c r="BE39" s="1014"/>
      <c r="BF39" s="1014"/>
      <c r="BG39" s="1014"/>
      <c r="BH39" s="1014"/>
      <c r="BI39" s="1014"/>
      <c r="BJ39" s="1014">
        <v>456</v>
      </c>
      <c r="BK39" s="1014"/>
      <c r="BL39" s="1014"/>
      <c r="BM39" s="1014"/>
      <c r="BN39" s="1014"/>
      <c r="BO39" s="1014"/>
      <c r="BP39" s="1051">
        <v>1</v>
      </c>
      <c r="BQ39" s="1051"/>
      <c r="BR39" s="1051"/>
      <c r="BS39" s="1051"/>
      <c r="BT39" s="1051"/>
      <c r="BU39" s="1051"/>
      <c r="BV39" s="1051">
        <v>150</v>
      </c>
      <c r="BW39" s="1051"/>
      <c r="BX39" s="1051"/>
      <c r="BY39" s="1051"/>
      <c r="BZ39" s="1051"/>
      <c r="CA39" s="1051"/>
      <c r="CB39" s="1014">
        <v>3</v>
      </c>
      <c r="CC39" s="1014"/>
      <c r="CD39" s="1014"/>
      <c r="CE39" s="1014"/>
      <c r="CF39" s="1014"/>
      <c r="CG39" s="1014"/>
      <c r="CH39" s="1014">
        <v>408</v>
      </c>
      <c r="CI39" s="1014"/>
      <c r="CJ39" s="1014"/>
      <c r="CK39" s="1014"/>
      <c r="CL39" s="1014"/>
      <c r="CM39" s="1014"/>
      <c r="CN39" s="1014">
        <v>1</v>
      </c>
      <c r="CO39" s="1014"/>
      <c r="CP39" s="1014"/>
      <c r="CQ39" s="1014"/>
      <c r="CR39" s="1014"/>
      <c r="CS39" s="1014"/>
      <c r="CT39" s="1014">
        <v>50</v>
      </c>
      <c r="CU39" s="1014"/>
      <c r="CV39" s="1014"/>
      <c r="CW39" s="1014"/>
      <c r="CX39" s="1014"/>
      <c r="CY39" s="1050"/>
    </row>
    <row r="40" spans="1:103" s="60" customFormat="1" ht="21" customHeight="1">
      <c r="A40" s="553" t="s">
        <v>94</v>
      </c>
      <c r="B40" s="727"/>
      <c r="C40" s="727"/>
      <c r="D40" s="727"/>
      <c r="E40" s="727"/>
      <c r="F40" s="1014">
        <v>18</v>
      </c>
      <c r="G40" s="1014"/>
      <c r="H40" s="1014"/>
      <c r="I40" s="1014"/>
      <c r="J40" s="1014"/>
      <c r="K40" s="1014"/>
      <c r="L40" s="1014">
        <v>4558</v>
      </c>
      <c r="M40" s="1014"/>
      <c r="N40" s="1014"/>
      <c r="O40" s="1014"/>
      <c r="P40" s="1014"/>
      <c r="Q40" s="1014"/>
      <c r="R40" s="1014">
        <v>6</v>
      </c>
      <c r="S40" s="1014"/>
      <c r="T40" s="1014"/>
      <c r="U40" s="1014"/>
      <c r="V40" s="1014"/>
      <c r="W40" s="1014"/>
      <c r="X40" s="1014">
        <v>1008</v>
      </c>
      <c r="Y40" s="1014"/>
      <c r="Z40" s="1014"/>
      <c r="AA40" s="1014"/>
      <c r="AB40" s="1014"/>
      <c r="AC40" s="1014"/>
      <c r="AD40" s="1014">
        <v>3</v>
      </c>
      <c r="AE40" s="1014"/>
      <c r="AF40" s="1014"/>
      <c r="AG40" s="1014"/>
      <c r="AH40" s="1014"/>
      <c r="AI40" s="1014"/>
      <c r="AJ40" s="1014">
        <v>435</v>
      </c>
      <c r="AK40" s="1014"/>
      <c r="AL40" s="1014"/>
      <c r="AM40" s="1014"/>
      <c r="AN40" s="1014"/>
      <c r="AO40" s="1014"/>
      <c r="AP40" s="1014">
        <v>3</v>
      </c>
      <c r="AQ40" s="1014"/>
      <c r="AR40" s="1014"/>
      <c r="AS40" s="1014"/>
      <c r="AT40" s="1014"/>
      <c r="AU40" s="1014"/>
      <c r="AV40" s="1014">
        <v>370</v>
      </c>
      <c r="AW40" s="1014"/>
      <c r="AX40" s="1014"/>
      <c r="AY40" s="1014"/>
      <c r="AZ40" s="1014"/>
      <c r="BA40" s="1014"/>
      <c r="BB40" s="793"/>
      <c r="BC40" s="793"/>
      <c r="BD40" s="1014">
        <v>4</v>
      </c>
      <c r="BE40" s="1014"/>
      <c r="BF40" s="1014"/>
      <c r="BG40" s="1014"/>
      <c r="BH40" s="1014"/>
      <c r="BI40" s="1014"/>
      <c r="BJ40" s="1014">
        <v>1135</v>
      </c>
      <c r="BK40" s="1014"/>
      <c r="BL40" s="1014"/>
      <c r="BM40" s="1014"/>
      <c r="BN40" s="1014"/>
      <c r="BO40" s="1014"/>
      <c r="BP40" s="1014">
        <v>0</v>
      </c>
      <c r="BQ40" s="1014"/>
      <c r="BR40" s="1014"/>
      <c r="BS40" s="1014"/>
      <c r="BT40" s="1014"/>
      <c r="BU40" s="1014"/>
      <c r="BV40" s="1014">
        <v>0</v>
      </c>
      <c r="BW40" s="1014"/>
      <c r="BX40" s="1014"/>
      <c r="BY40" s="1014"/>
      <c r="BZ40" s="1014"/>
      <c r="CA40" s="1014"/>
      <c r="CB40" s="1014">
        <v>6</v>
      </c>
      <c r="CC40" s="1014"/>
      <c r="CD40" s="1014"/>
      <c r="CE40" s="1014"/>
      <c r="CF40" s="1014"/>
      <c r="CG40" s="1014"/>
      <c r="CH40" s="1014">
        <v>1035</v>
      </c>
      <c r="CI40" s="1014"/>
      <c r="CJ40" s="1014"/>
      <c r="CK40" s="1014"/>
      <c r="CL40" s="1014"/>
      <c r="CM40" s="1014"/>
      <c r="CN40" s="1014">
        <v>5</v>
      </c>
      <c r="CO40" s="1014"/>
      <c r="CP40" s="1014"/>
      <c r="CQ40" s="1014"/>
      <c r="CR40" s="1014"/>
      <c r="CS40" s="1014"/>
      <c r="CT40" s="1014">
        <v>575</v>
      </c>
      <c r="CU40" s="1014"/>
      <c r="CV40" s="1014"/>
      <c r="CW40" s="1014"/>
      <c r="CX40" s="1014"/>
      <c r="CY40" s="1050"/>
    </row>
    <row r="41" spans="1:103" s="60" customFormat="1" ht="21" customHeight="1">
      <c r="A41" s="553" t="s">
        <v>95</v>
      </c>
      <c r="B41" s="727"/>
      <c r="C41" s="727"/>
      <c r="D41" s="727"/>
      <c r="E41" s="727"/>
      <c r="F41" s="1014">
        <v>61</v>
      </c>
      <c r="G41" s="1014"/>
      <c r="H41" s="1014"/>
      <c r="I41" s="1014"/>
      <c r="J41" s="1014"/>
      <c r="K41" s="1014"/>
      <c r="L41" s="1014">
        <v>69897</v>
      </c>
      <c r="M41" s="1014"/>
      <c r="N41" s="1014"/>
      <c r="O41" s="1014"/>
      <c r="P41" s="1014"/>
      <c r="Q41" s="1014"/>
      <c r="R41" s="1014">
        <v>20</v>
      </c>
      <c r="S41" s="1014"/>
      <c r="T41" s="1014"/>
      <c r="U41" s="1014"/>
      <c r="V41" s="1014"/>
      <c r="W41" s="1014"/>
      <c r="X41" s="1014">
        <v>1134</v>
      </c>
      <c r="Y41" s="1014"/>
      <c r="Z41" s="1014"/>
      <c r="AA41" s="1014"/>
      <c r="AB41" s="1014"/>
      <c r="AC41" s="1014"/>
      <c r="AD41" s="1014">
        <v>27</v>
      </c>
      <c r="AE41" s="1014"/>
      <c r="AF41" s="1014"/>
      <c r="AG41" s="1014"/>
      <c r="AH41" s="1014"/>
      <c r="AI41" s="1014"/>
      <c r="AJ41" s="1014">
        <v>6940</v>
      </c>
      <c r="AK41" s="1014"/>
      <c r="AL41" s="1014"/>
      <c r="AM41" s="1014"/>
      <c r="AN41" s="1014"/>
      <c r="AO41" s="1014"/>
      <c r="AP41" s="1014">
        <v>18</v>
      </c>
      <c r="AQ41" s="1014"/>
      <c r="AR41" s="1014"/>
      <c r="AS41" s="1014"/>
      <c r="AT41" s="1014"/>
      <c r="AU41" s="1014"/>
      <c r="AV41" s="1014">
        <v>3661</v>
      </c>
      <c r="AW41" s="1014"/>
      <c r="AX41" s="1014"/>
      <c r="AY41" s="1014"/>
      <c r="AZ41" s="1014"/>
      <c r="BA41" s="1014"/>
      <c r="BB41" s="793"/>
      <c r="BC41" s="793"/>
      <c r="BD41" s="1014">
        <v>28</v>
      </c>
      <c r="BE41" s="1014"/>
      <c r="BF41" s="1014"/>
      <c r="BG41" s="1014"/>
      <c r="BH41" s="1014"/>
      <c r="BI41" s="1014"/>
      <c r="BJ41" s="1014">
        <v>6157</v>
      </c>
      <c r="BK41" s="1014"/>
      <c r="BL41" s="1014"/>
      <c r="BM41" s="1014"/>
      <c r="BN41" s="1014"/>
      <c r="BO41" s="1014"/>
      <c r="BP41" s="1014">
        <v>9</v>
      </c>
      <c r="BQ41" s="1014"/>
      <c r="BR41" s="1014"/>
      <c r="BS41" s="1014"/>
      <c r="BT41" s="1014"/>
      <c r="BU41" s="1014"/>
      <c r="BV41" s="1014">
        <v>42125</v>
      </c>
      <c r="BW41" s="1014"/>
      <c r="BX41" s="1014"/>
      <c r="BY41" s="1014"/>
      <c r="BZ41" s="1014"/>
      <c r="CA41" s="1014"/>
      <c r="CB41" s="1014">
        <v>34</v>
      </c>
      <c r="CC41" s="1014"/>
      <c r="CD41" s="1014"/>
      <c r="CE41" s="1014"/>
      <c r="CF41" s="1014"/>
      <c r="CG41" s="1014"/>
      <c r="CH41" s="1014">
        <v>6485</v>
      </c>
      <c r="CI41" s="1014"/>
      <c r="CJ41" s="1014"/>
      <c r="CK41" s="1014"/>
      <c r="CL41" s="1014"/>
      <c r="CM41" s="1014"/>
      <c r="CN41" s="1014">
        <v>25</v>
      </c>
      <c r="CO41" s="1014"/>
      <c r="CP41" s="1014"/>
      <c r="CQ41" s="1014"/>
      <c r="CR41" s="1014"/>
      <c r="CS41" s="1014"/>
      <c r="CT41" s="1014">
        <v>3395</v>
      </c>
      <c r="CU41" s="1014"/>
      <c r="CV41" s="1014"/>
      <c r="CW41" s="1014"/>
      <c r="CX41" s="1014"/>
      <c r="CY41" s="1050"/>
    </row>
    <row r="42" spans="1:103" ht="21" customHeight="1">
      <c r="A42" s="459" t="s">
        <v>96</v>
      </c>
      <c r="B42" s="118"/>
      <c r="C42" s="118"/>
      <c r="D42" s="118"/>
      <c r="E42" s="118"/>
      <c r="F42" s="697">
        <v>32</v>
      </c>
      <c r="G42" s="697"/>
      <c r="H42" s="697"/>
      <c r="I42" s="697"/>
      <c r="J42" s="697"/>
      <c r="K42" s="697"/>
      <c r="L42" s="697">
        <v>8533</v>
      </c>
      <c r="M42" s="697"/>
      <c r="N42" s="697"/>
      <c r="O42" s="697"/>
      <c r="P42" s="697"/>
      <c r="Q42" s="697"/>
      <c r="R42" s="697">
        <v>3</v>
      </c>
      <c r="S42" s="697"/>
      <c r="T42" s="697"/>
      <c r="U42" s="697"/>
      <c r="V42" s="697"/>
      <c r="W42" s="697"/>
      <c r="X42" s="697">
        <v>200</v>
      </c>
      <c r="Y42" s="697"/>
      <c r="Z42" s="697"/>
      <c r="AA42" s="697"/>
      <c r="AB42" s="697"/>
      <c r="AC42" s="697"/>
      <c r="AD42" s="697">
        <v>12</v>
      </c>
      <c r="AE42" s="697"/>
      <c r="AF42" s="697"/>
      <c r="AG42" s="697"/>
      <c r="AH42" s="697"/>
      <c r="AI42" s="697"/>
      <c r="AJ42" s="697">
        <v>990</v>
      </c>
      <c r="AK42" s="697"/>
      <c r="AL42" s="697"/>
      <c r="AM42" s="697"/>
      <c r="AN42" s="697"/>
      <c r="AO42" s="697"/>
      <c r="AP42" s="697">
        <v>12</v>
      </c>
      <c r="AQ42" s="697"/>
      <c r="AR42" s="697"/>
      <c r="AS42" s="697"/>
      <c r="AT42" s="697"/>
      <c r="AU42" s="697"/>
      <c r="AV42" s="697">
        <v>755</v>
      </c>
      <c r="AW42" s="697"/>
      <c r="AX42" s="697"/>
      <c r="AY42" s="697"/>
      <c r="AZ42" s="697"/>
      <c r="BA42" s="697"/>
      <c r="BB42" s="772"/>
      <c r="BC42" s="772"/>
      <c r="BD42" s="697">
        <v>14</v>
      </c>
      <c r="BE42" s="697"/>
      <c r="BF42" s="697"/>
      <c r="BG42" s="697"/>
      <c r="BH42" s="697"/>
      <c r="BI42" s="697"/>
      <c r="BJ42" s="697">
        <v>1152</v>
      </c>
      <c r="BK42" s="697"/>
      <c r="BL42" s="697"/>
      <c r="BM42" s="697"/>
      <c r="BN42" s="697"/>
      <c r="BO42" s="697"/>
      <c r="BP42" s="697">
        <v>3</v>
      </c>
      <c r="BQ42" s="697"/>
      <c r="BR42" s="697"/>
      <c r="BS42" s="697"/>
      <c r="BT42" s="697"/>
      <c r="BU42" s="697"/>
      <c r="BV42" s="697">
        <v>270</v>
      </c>
      <c r="BW42" s="697"/>
      <c r="BX42" s="697"/>
      <c r="BY42" s="697"/>
      <c r="BZ42" s="697"/>
      <c r="CA42" s="697"/>
      <c r="CB42" s="697">
        <v>22</v>
      </c>
      <c r="CC42" s="697"/>
      <c r="CD42" s="697"/>
      <c r="CE42" s="697"/>
      <c r="CF42" s="697"/>
      <c r="CG42" s="697"/>
      <c r="CH42" s="697">
        <v>2983</v>
      </c>
      <c r="CI42" s="697"/>
      <c r="CJ42" s="697"/>
      <c r="CK42" s="697"/>
      <c r="CL42" s="697"/>
      <c r="CM42" s="697"/>
      <c r="CN42" s="697">
        <v>17</v>
      </c>
      <c r="CO42" s="697"/>
      <c r="CP42" s="697"/>
      <c r="CQ42" s="697"/>
      <c r="CR42" s="697"/>
      <c r="CS42" s="697"/>
      <c r="CT42" s="697">
        <v>2183</v>
      </c>
      <c r="CU42" s="697"/>
      <c r="CV42" s="697"/>
      <c r="CW42" s="697"/>
      <c r="CX42" s="697"/>
      <c r="CY42" s="1055"/>
    </row>
    <row r="43" spans="1:103" ht="21" customHeight="1" thickBot="1">
      <c r="A43" s="740" t="s">
        <v>97</v>
      </c>
      <c r="B43" s="741"/>
      <c r="C43" s="741"/>
      <c r="D43" s="741"/>
      <c r="E43" s="741"/>
      <c r="F43" s="718">
        <v>43</v>
      </c>
      <c r="G43" s="718"/>
      <c r="H43" s="718"/>
      <c r="I43" s="718"/>
      <c r="J43" s="718"/>
      <c r="K43" s="718"/>
      <c r="L43" s="718">
        <v>26184</v>
      </c>
      <c r="M43" s="718"/>
      <c r="N43" s="718"/>
      <c r="O43" s="718"/>
      <c r="P43" s="718"/>
      <c r="Q43" s="718"/>
      <c r="R43" s="718">
        <v>7</v>
      </c>
      <c r="S43" s="718"/>
      <c r="T43" s="718"/>
      <c r="U43" s="718"/>
      <c r="V43" s="718"/>
      <c r="W43" s="718"/>
      <c r="X43" s="718">
        <v>957</v>
      </c>
      <c r="Y43" s="718"/>
      <c r="Z43" s="718"/>
      <c r="AA43" s="718"/>
      <c r="AB43" s="718"/>
      <c r="AC43" s="718"/>
      <c r="AD43" s="718">
        <v>16</v>
      </c>
      <c r="AE43" s="718"/>
      <c r="AF43" s="718"/>
      <c r="AG43" s="718"/>
      <c r="AH43" s="718"/>
      <c r="AI43" s="718"/>
      <c r="AJ43" s="718">
        <v>7679</v>
      </c>
      <c r="AK43" s="718"/>
      <c r="AL43" s="718"/>
      <c r="AM43" s="718"/>
      <c r="AN43" s="718"/>
      <c r="AO43" s="718"/>
      <c r="AP43" s="718">
        <v>12</v>
      </c>
      <c r="AQ43" s="718"/>
      <c r="AR43" s="718"/>
      <c r="AS43" s="718"/>
      <c r="AT43" s="718"/>
      <c r="AU43" s="718"/>
      <c r="AV43" s="718">
        <v>1398</v>
      </c>
      <c r="AW43" s="718"/>
      <c r="AX43" s="718"/>
      <c r="AY43" s="718"/>
      <c r="AZ43" s="718"/>
      <c r="BA43" s="718"/>
      <c r="BB43" s="812"/>
      <c r="BC43" s="812"/>
      <c r="BD43" s="718">
        <v>22</v>
      </c>
      <c r="BE43" s="718"/>
      <c r="BF43" s="718"/>
      <c r="BG43" s="718"/>
      <c r="BH43" s="718"/>
      <c r="BI43" s="718"/>
      <c r="BJ43" s="718">
        <v>3948</v>
      </c>
      <c r="BK43" s="718"/>
      <c r="BL43" s="718"/>
      <c r="BM43" s="718"/>
      <c r="BN43" s="718"/>
      <c r="BO43" s="718"/>
      <c r="BP43" s="718">
        <v>1</v>
      </c>
      <c r="BQ43" s="718"/>
      <c r="BR43" s="718"/>
      <c r="BS43" s="718"/>
      <c r="BT43" s="718"/>
      <c r="BU43" s="718"/>
      <c r="BV43" s="718">
        <v>150</v>
      </c>
      <c r="BW43" s="718"/>
      <c r="BX43" s="718"/>
      <c r="BY43" s="718"/>
      <c r="BZ43" s="718"/>
      <c r="CA43" s="718"/>
      <c r="CB43" s="718">
        <v>26</v>
      </c>
      <c r="CC43" s="718"/>
      <c r="CD43" s="718"/>
      <c r="CE43" s="718"/>
      <c r="CF43" s="718"/>
      <c r="CG43" s="718"/>
      <c r="CH43" s="718">
        <v>5475</v>
      </c>
      <c r="CI43" s="718"/>
      <c r="CJ43" s="718"/>
      <c r="CK43" s="718"/>
      <c r="CL43" s="718"/>
      <c r="CM43" s="718"/>
      <c r="CN43" s="718">
        <v>19</v>
      </c>
      <c r="CO43" s="718"/>
      <c r="CP43" s="718"/>
      <c r="CQ43" s="718"/>
      <c r="CR43" s="718"/>
      <c r="CS43" s="718"/>
      <c r="CT43" s="718">
        <v>6577</v>
      </c>
      <c r="CU43" s="718"/>
      <c r="CV43" s="718"/>
      <c r="CW43" s="718"/>
      <c r="CX43" s="718"/>
      <c r="CY43" s="1056"/>
    </row>
    <row r="44" spans="1:18" ht="5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ht="13.5">
      <c r="M45" s="27"/>
    </row>
  </sheetData>
  <sheetProtection/>
  <mergeCells count="548">
    <mergeCell ref="BP43:BU43"/>
    <mergeCell ref="BV43:CA43"/>
    <mergeCell ref="CB43:CG43"/>
    <mergeCell ref="CH43:CM43"/>
    <mergeCell ref="CN43:CS43"/>
    <mergeCell ref="CT43:CY43"/>
    <mergeCell ref="AD43:AI43"/>
    <mergeCell ref="AJ43:AO43"/>
    <mergeCell ref="AP43:AU43"/>
    <mergeCell ref="AV43:BA43"/>
    <mergeCell ref="BD43:BI43"/>
    <mergeCell ref="BJ43:BO43"/>
    <mergeCell ref="BV42:CA42"/>
    <mergeCell ref="CB42:CG42"/>
    <mergeCell ref="CH42:CM42"/>
    <mergeCell ref="CN42:CS42"/>
    <mergeCell ref="CT42:CY42"/>
    <mergeCell ref="A43:E43"/>
    <mergeCell ref="F43:K43"/>
    <mergeCell ref="L43:Q43"/>
    <mergeCell ref="R43:W43"/>
    <mergeCell ref="X43:AC43"/>
    <mergeCell ref="AJ42:AO42"/>
    <mergeCell ref="AP42:AU42"/>
    <mergeCell ref="AV42:BA42"/>
    <mergeCell ref="BD42:BI42"/>
    <mergeCell ref="BJ42:BO42"/>
    <mergeCell ref="BP42:BU42"/>
    <mergeCell ref="A42:E42"/>
    <mergeCell ref="F42:K42"/>
    <mergeCell ref="L42:Q42"/>
    <mergeCell ref="R42:W42"/>
    <mergeCell ref="X42:AC42"/>
    <mergeCell ref="AD42:AI42"/>
    <mergeCell ref="BP41:BU41"/>
    <mergeCell ref="BV41:CA41"/>
    <mergeCell ref="CB41:CG41"/>
    <mergeCell ref="CH41:CM41"/>
    <mergeCell ref="CN41:CS41"/>
    <mergeCell ref="CT41:CY41"/>
    <mergeCell ref="AD41:AI41"/>
    <mergeCell ref="AJ41:AO41"/>
    <mergeCell ref="AP41:AU41"/>
    <mergeCell ref="AV41:BA41"/>
    <mergeCell ref="BD41:BI41"/>
    <mergeCell ref="BJ41:BO41"/>
    <mergeCell ref="BV40:CA40"/>
    <mergeCell ref="CB40:CG40"/>
    <mergeCell ref="CH40:CM40"/>
    <mergeCell ref="CN40:CS40"/>
    <mergeCell ref="CT40:CY40"/>
    <mergeCell ref="A41:E41"/>
    <mergeCell ref="F41:K41"/>
    <mergeCell ref="L41:Q41"/>
    <mergeCell ref="R41:W41"/>
    <mergeCell ref="X41:AC41"/>
    <mergeCell ref="AJ40:AO40"/>
    <mergeCell ref="AP40:AU40"/>
    <mergeCell ref="AV40:BA40"/>
    <mergeCell ref="BD40:BI40"/>
    <mergeCell ref="BJ40:BO40"/>
    <mergeCell ref="BP40:BU40"/>
    <mergeCell ref="A40:E40"/>
    <mergeCell ref="F40:K40"/>
    <mergeCell ref="L40:Q40"/>
    <mergeCell ref="R40:W40"/>
    <mergeCell ref="X40:AC40"/>
    <mergeCell ref="AD40:AI40"/>
    <mergeCell ref="BP39:BU39"/>
    <mergeCell ref="BV39:CA39"/>
    <mergeCell ref="CB39:CG39"/>
    <mergeCell ref="CH39:CM39"/>
    <mergeCell ref="CN39:CS39"/>
    <mergeCell ref="CT39:CY39"/>
    <mergeCell ref="AD39:AI39"/>
    <mergeCell ref="AJ39:AO39"/>
    <mergeCell ref="AP39:AU39"/>
    <mergeCell ref="AV39:BA39"/>
    <mergeCell ref="BD39:BI39"/>
    <mergeCell ref="BJ39:BO39"/>
    <mergeCell ref="BV38:CA38"/>
    <mergeCell ref="CB38:CG38"/>
    <mergeCell ref="CH38:CM38"/>
    <mergeCell ref="CN38:CS38"/>
    <mergeCell ref="CT38:CY38"/>
    <mergeCell ref="A39:E39"/>
    <mergeCell ref="F39:K39"/>
    <mergeCell ref="L39:Q39"/>
    <mergeCell ref="R39:W39"/>
    <mergeCell ref="X39:AC39"/>
    <mergeCell ref="AJ38:AO38"/>
    <mergeCell ref="AP38:AU38"/>
    <mergeCell ref="AV38:BA38"/>
    <mergeCell ref="BD38:BI38"/>
    <mergeCell ref="BJ38:BO38"/>
    <mergeCell ref="BP38:BU38"/>
    <mergeCell ref="A38:E38"/>
    <mergeCell ref="F38:K38"/>
    <mergeCell ref="L38:Q38"/>
    <mergeCell ref="R38:W38"/>
    <mergeCell ref="X38:AC38"/>
    <mergeCell ref="AD38:AI38"/>
    <mergeCell ref="BP37:BU37"/>
    <mergeCell ref="BV37:CA37"/>
    <mergeCell ref="CB37:CG37"/>
    <mergeCell ref="CH37:CM37"/>
    <mergeCell ref="CN37:CS37"/>
    <mergeCell ref="CT37:CY37"/>
    <mergeCell ref="AD37:AI37"/>
    <mergeCell ref="AJ37:AO37"/>
    <mergeCell ref="AP37:AU37"/>
    <mergeCell ref="AV37:BA37"/>
    <mergeCell ref="BD37:BI37"/>
    <mergeCell ref="BJ37:BO37"/>
    <mergeCell ref="BV36:CA36"/>
    <mergeCell ref="CB36:CG36"/>
    <mergeCell ref="CH36:CM36"/>
    <mergeCell ref="CN36:CS36"/>
    <mergeCell ref="CT36:CY36"/>
    <mergeCell ref="A37:E37"/>
    <mergeCell ref="F37:K37"/>
    <mergeCell ref="L37:Q37"/>
    <mergeCell ref="R37:W37"/>
    <mergeCell ref="X37:AC37"/>
    <mergeCell ref="AJ36:AO36"/>
    <mergeCell ref="AP36:AU36"/>
    <mergeCell ref="AV36:BA36"/>
    <mergeCell ref="BD36:BI36"/>
    <mergeCell ref="BJ36:BO36"/>
    <mergeCell ref="BP36:BU36"/>
    <mergeCell ref="A36:E36"/>
    <mergeCell ref="F36:K36"/>
    <mergeCell ref="L36:Q36"/>
    <mergeCell ref="R36:W36"/>
    <mergeCell ref="X36:AC36"/>
    <mergeCell ref="AD36:AI36"/>
    <mergeCell ref="BP35:BU35"/>
    <mergeCell ref="BV35:CA35"/>
    <mergeCell ref="CB35:CG35"/>
    <mergeCell ref="CH35:CM35"/>
    <mergeCell ref="CN35:CS35"/>
    <mergeCell ref="CT35:CY35"/>
    <mergeCell ref="AD35:AI35"/>
    <mergeCell ref="AJ35:AO35"/>
    <mergeCell ref="AP35:AU35"/>
    <mergeCell ref="AV35:BA35"/>
    <mergeCell ref="BD35:BI35"/>
    <mergeCell ref="BJ35:BO35"/>
    <mergeCell ref="BV34:CA34"/>
    <mergeCell ref="CB34:CG34"/>
    <mergeCell ref="CH34:CM34"/>
    <mergeCell ref="CN34:CS34"/>
    <mergeCell ref="CT34:CY34"/>
    <mergeCell ref="A35:E35"/>
    <mergeCell ref="F35:K35"/>
    <mergeCell ref="L35:Q35"/>
    <mergeCell ref="R35:W35"/>
    <mergeCell ref="X35:AC35"/>
    <mergeCell ref="AJ34:AO34"/>
    <mergeCell ref="AP34:AU34"/>
    <mergeCell ref="AV34:BA34"/>
    <mergeCell ref="BD34:BI34"/>
    <mergeCell ref="BJ34:BO34"/>
    <mergeCell ref="BP34:BU34"/>
    <mergeCell ref="A34:E34"/>
    <mergeCell ref="F34:K34"/>
    <mergeCell ref="L34:Q34"/>
    <mergeCell ref="R34:W34"/>
    <mergeCell ref="X34:AC34"/>
    <mergeCell ref="AD34:AI34"/>
    <mergeCell ref="BP33:BU33"/>
    <mergeCell ref="BV33:CA33"/>
    <mergeCell ref="CB33:CG33"/>
    <mergeCell ref="CH33:CM33"/>
    <mergeCell ref="CN33:CS33"/>
    <mergeCell ref="CT33:CY33"/>
    <mergeCell ref="AD33:AI33"/>
    <mergeCell ref="AJ33:AO33"/>
    <mergeCell ref="AP33:AU33"/>
    <mergeCell ref="AV33:BA33"/>
    <mergeCell ref="BD33:BI33"/>
    <mergeCell ref="BJ33:BO33"/>
    <mergeCell ref="BV32:CA32"/>
    <mergeCell ref="CB32:CG32"/>
    <mergeCell ref="CH32:CM32"/>
    <mergeCell ref="CN32:CS32"/>
    <mergeCell ref="CT32:CY32"/>
    <mergeCell ref="A33:E33"/>
    <mergeCell ref="F33:K33"/>
    <mergeCell ref="L33:Q33"/>
    <mergeCell ref="R33:W33"/>
    <mergeCell ref="X33:AC33"/>
    <mergeCell ref="AJ32:AO32"/>
    <mergeCell ref="AP32:AU32"/>
    <mergeCell ref="AV32:BA32"/>
    <mergeCell ref="BD32:BI32"/>
    <mergeCell ref="BJ32:BO32"/>
    <mergeCell ref="BP32:BU32"/>
    <mergeCell ref="CB31:CG31"/>
    <mergeCell ref="CH31:CM31"/>
    <mergeCell ref="CN31:CS31"/>
    <mergeCell ref="CT31:CY31"/>
    <mergeCell ref="A32:E32"/>
    <mergeCell ref="F32:K32"/>
    <mergeCell ref="L32:Q32"/>
    <mergeCell ref="R32:W32"/>
    <mergeCell ref="X32:AC32"/>
    <mergeCell ref="AD32:AI32"/>
    <mergeCell ref="AP31:AU31"/>
    <mergeCell ref="AV31:BA31"/>
    <mergeCell ref="BD31:BI31"/>
    <mergeCell ref="BJ31:BO31"/>
    <mergeCell ref="BP31:BU31"/>
    <mergeCell ref="BV31:CA31"/>
    <mergeCell ref="CH30:CM30"/>
    <mergeCell ref="CN30:CS30"/>
    <mergeCell ref="CT30:CY30"/>
    <mergeCell ref="A31:E31"/>
    <mergeCell ref="F31:K31"/>
    <mergeCell ref="L31:Q31"/>
    <mergeCell ref="R31:W31"/>
    <mergeCell ref="X31:AC31"/>
    <mergeCell ref="AD31:AI31"/>
    <mergeCell ref="AJ31:AO31"/>
    <mergeCell ref="AV30:BA30"/>
    <mergeCell ref="BD30:BI30"/>
    <mergeCell ref="BJ30:BO30"/>
    <mergeCell ref="BP30:BU30"/>
    <mergeCell ref="BV30:CA30"/>
    <mergeCell ref="CB30:CG30"/>
    <mergeCell ref="CN29:CS29"/>
    <mergeCell ref="CT29:CY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BD29:BI29"/>
    <mergeCell ref="BJ29:BO29"/>
    <mergeCell ref="BP29:BU29"/>
    <mergeCell ref="BV29:CA29"/>
    <mergeCell ref="CB29:CG29"/>
    <mergeCell ref="CH29:CM29"/>
    <mergeCell ref="CB28:CM28"/>
    <mergeCell ref="CN28:CY28"/>
    <mergeCell ref="F29:K29"/>
    <mergeCell ref="L29:Q29"/>
    <mergeCell ref="R29:W29"/>
    <mergeCell ref="X29:AC29"/>
    <mergeCell ref="AD29:AI29"/>
    <mergeCell ref="AJ29:AO29"/>
    <mergeCell ref="AP29:AU29"/>
    <mergeCell ref="AV29:BA29"/>
    <mergeCell ref="CT20:CX20"/>
    <mergeCell ref="CY20:DC20"/>
    <mergeCell ref="A27:E29"/>
    <mergeCell ref="F27:Q28"/>
    <mergeCell ref="R27:AC28"/>
    <mergeCell ref="AD27:CY27"/>
    <mergeCell ref="AD28:AO28"/>
    <mergeCell ref="AP28:BA28"/>
    <mergeCell ref="BD28:BO28"/>
    <mergeCell ref="BP28:CA28"/>
    <mergeCell ref="BP20:BT20"/>
    <mergeCell ref="BU20:BY20"/>
    <mergeCell ref="BZ20:CD20"/>
    <mergeCell ref="CE20:CI20"/>
    <mergeCell ref="CJ20:CN20"/>
    <mergeCell ref="CO20:CS20"/>
    <mergeCell ref="AF20:AJ20"/>
    <mergeCell ref="AK20:AO20"/>
    <mergeCell ref="AP20:AT20"/>
    <mergeCell ref="AU20:AY20"/>
    <mergeCell ref="BE20:BJ20"/>
    <mergeCell ref="BK20:BO20"/>
    <mergeCell ref="A20:F20"/>
    <mergeCell ref="G20:K20"/>
    <mergeCell ref="L20:P20"/>
    <mergeCell ref="Q20:U20"/>
    <mergeCell ref="V20:Z20"/>
    <mergeCell ref="AA20:AE20"/>
    <mergeCell ref="BZ19:CD19"/>
    <mergeCell ref="CE19:CI19"/>
    <mergeCell ref="CJ19:CN19"/>
    <mergeCell ref="CO19:CS19"/>
    <mergeCell ref="CT19:CX19"/>
    <mergeCell ref="CY19:DC19"/>
    <mergeCell ref="AP19:AT19"/>
    <mergeCell ref="AU19:AY19"/>
    <mergeCell ref="BE19:BJ19"/>
    <mergeCell ref="BK19:BO19"/>
    <mergeCell ref="BP19:BT19"/>
    <mergeCell ref="BU19:BY19"/>
    <mergeCell ref="CT18:CX18"/>
    <mergeCell ref="CY18:DC18"/>
    <mergeCell ref="A19:F19"/>
    <mergeCell ref="G19:K19"/>
    <mergeCell ref="L19:P19"/>
    <mergeCell ref="Q19:U19"/>
    <mergeCell ref="V19:Z19"/>
    <mergeCell ref="AA19:AE19"/>
    <mergeCell ref="AF19:AJ19"/>
    <mergeCell ref="AK19:AO19"/>
    <mergeCell ref="BP18:BT18"/>
    <mergeCell ref="BU18:BY18"/>
    <mergeCell ref="BZ18:CD18"/>
    <mergeCell ref="CE18:CI18"/>
    <mergeCell ref="CJ18:CN18"/>
    <mergeCell ref="CO18:CS18"/>
    <mergeCell ref="AF18:AJ18"/>
    <mergeCell ref="AK18:AO18"/>
    <mergeCell ref="AP18:AT18"/>
    <mergeCell ref="AU18:AY18"/>
    <mergeCell ref="BE18:BJ18"/>
    <mergeCell ref="BK18:BO18"/>
    <mergeCell ref="A18:F18"/>
    <mergeCell ref="G18:K18"/>
    <mergeCell ref="L18:P18"/>
    <mergeCell ref="Q18:U18"/>
    <mergeCell ref="V18:Z18"/>
    <mergeCell ref="AA18:AE18"/>
    <mergeCell ref="BZ17:CD17"/>
    <mergeCell ref="CE17:CI17"/>
    <mergeCell ref="CJ17:CN17"/>
    <mergeCell ref="CO17:CS17"/>
    <mergeCell ref="CT17:CX17"/>
    <mergeCell ref="CY17:DC17"/>
    <mergeCell ref="AP17:AT17"/>
    <mergeCell ref="AU17:AY17"/>
    <mergeCell ref="BE17:BJ17"/>
    <mergeCell ref="BK17:BO17"/>
    <mergeCell ref="BP17:BT17"/>
    <mergeCell ref="BU17:BY17"/>
    <mergeCell ref="CT16:CX16"/>
    <mergeCell ref="CY16:DC16"/>
    <mergeCell ref="A17:F17"/>
    <mergeCell ref="G17:K17"/>
    <mergeCell ref="L17:P17"/>
    <mergeCell ref="Q17:U17"/>
    <mergeCell ref="V17:Z17"/>
    <mergeCell ref="AA17:AE17"/>
    <mergeCell ref="AF17:AJ17"/>
    <mergeCell ref="AK17:AO17"/>
    <mergeCell ref="BP16:BT16"/>
    <mergeCell ref="BU16:BY16"/>
    <mergeCell ref="BZ16:CD16"/>
    <mergeCell ref="CE16:CI16"/>
    <mergeCell ref="CJ16:CN16"/>
    <mergeCell ref="CO16:CS16"/>
    <mergeCell ref="AF16:AJ16"/>
    <mergeCell ref="AK16:AO16"/>
    <mergeCell ref="AP16:AT16"/>
    <mergeCell ref="AU16:AY16"/>
    <mergeCell ref="BE16:BJ16"/>
    <mergeCell ref="BK16:BO16"/>
    <mergeCell ref="A16:F16"/>
    <mergeCell ref="G16:K16"/>
    <mergeCell ref="L16:P16"/>
    <mergeCell ref="Q16:U16"/>
    <mergeCell ref="V16:Z16"/>
    <mergeCell ref="AA16:AE16"/>
    <mergeCell ref="BZ15:CD15"/>
    <mergeCell ref="CE15:CI15"/>
    <mergeCell ref="CJ15:CN15"/>
    <mergeCell ref="CO15:CS15"/>
    <mergeCell ref="CT15:CX15"/>
    <mergeCell ref="CY15:DC15"/>
    <mergeCell ref="AP15:AT15"/>
    <mergeCell ref="AU15:AY15"/>
    <mergeCell ref="BE15:BJ15"/>
    <mergeCell ref="BK15:BO15"/>
    <mergeCell ref="BP15:BT15"/>
    <mergeCell ref="BU15:BY15"/>
    <mergeCell ref="CT14:CX14"/>
    <mergeCell ref="CY14:DC14"/>
    <mergeCell ref="A15:F15"/>
    <mergeCell ref="G15:K15"/>
    <mergeCell ref="L15:P15"/>
    <mergeCell ref="Q15:U15"/>
    <mergeCell ref="V15:Z15"/>
    <mergeCell ref="AA15:AE15"/>
    <mergeCell ref="AF15:AJ15"/>
    <mergeCell ref="AK15:AO15"/>
    <mergeCell ref="BP14:BT14"/>
    <mergeCell ref="BU14:BY14"/>
    <mergeCell ref="BZ14:CD14"/>
    <mergeCell ref="CE14:CI14"/>
    <mergeCell ref="CJ14:CN14"/>
    <mergeCell ref="CO14:CS14"/>
    <mergeCell ref="AF14:AJ14"/>
    <mergeCell ref="AK14:AO14"/>
    <mergeCell ref="AP14:AT14"/>
    <mergeCell ref="AU14:AY14"/>
    <mergeCell ref="BE14:BJ14"/>
    <mergeCell ref="BK14:BO14"/>
    <mergeCell ref="A14:F14"/>
    <mergeCell ref="G14:K14"/>
    <mergeCell ref="L14:P14"/>
    <mergeCell ref="Q14:U14"/>
    <mergeCell ref="V14:Z14"/>
    <mergeCell ref="AA14:AE14"/>
    <mergeCell ref="BZ13:CD13"/>
    <mergeCell ref="CE13:CI13"/>
    <mergeCell ref="CJ13:CN13"/>
    <mergeCell ref="CO13:CS13"/>
    <mergeCell ref="CT13:CX13"/>
    <mergeCell ref="CY13:DC13"/>
    <mergeCell ref="AP13:AT13"/>
    <mergeCell ref="AU13:AY13"/>
    <mergeCell ref="BE13:BJ13"/>
    <mergeCell ref="BK13:BO13"/>
    <mergeCell ref="BP13:BT13"/>
    <mergeCell ref="BU13:BY13"/>
    <mergeCell ref="CT12:CX12"/>
    <mergeCell ref="CY12:DC12"/>
    <mergeCell ref="A13:F13"/>
    <mergeCell ref="G13:K13"/>
    <mergeCell ref="L13:P13"/>
    <mergeCell ref="Q13:U13"/>
    <mergeCell ref="V13:Z13"/>
    <mergeCell ref="AA13:AE13"/>
    <mergeCell ref="AF13:AJ13"/>
    <mergeCell ref="AK13:AO13"/>
    <mergeCell ref="BP12:BT12"/>
    <mergeCell ref="BU12:BY12"/>
    <mergeCell ref="BZ12:CD12"/>
    <mergeCell ref="CE12:CI12"/>
    <mergeCell ref="CJ12:CN12"/>
    <mergeCell ref="CO12:CS12"/>
    <mergeCell ref="AF12:AJ12"/>
    <mergeCell ref="AK12:AO12"/>
    <mergeCell ref="AP12:AT12"/>
    <mergeCell ref="AU12:AY12"/>
    <mergeCell ref="BE12:BJ12"/>
    <mergeCell ref="BK12:BO12"/>
    <mergeCell ref="A12:F12"/>
    <mergeCell ref="G12:K12"/>
    <mergeCell ref="L12:P12"/>
    <mergeCell ref="Q12:U12"/>
    <mergeCell ref="V12:Z12"/>
    <mergeCell ref="AA12:AE12"/>
    <mergeCell ref="BZ11:CD11"/>
    <mergeCell ref="CE11:CI11"/>
    <mergeCell ref="CJ11:CN11"/>
    <mergeCell ref="CO11:CS11"/>
    <mergeCell ref="CT11:CX11"/>
    <mergeCell ref="CY11:DC11"/>
    <mergeCell ref="AP11:AT11"/>
    <mergeCell ref="AU11:AY11"/>
    <mergeCell ref="BE11:BJ11"/>
    <mergeCell ref="BK11:BO11"/>
    <mergeCell ref="BP11:BT11"/>
    <mergeCell ref="BU11:BY11"/>
    <mergeCell ref="CT10:CX10"/>
    <mergeCell ref="CY10:DC10"/>
    <mergeCell ref="A11:F11"/>
    <mergeCell ref="G11:K11"/>
    <mergeCell ref="L11:P11"/>
    <mergeCell ref="Q11:U11"/>
    <mergeCell ref="V11:Z11"/>
    <mergeCell ref="AA11:AE11"/>
    <mergeCell ref="AF11:AJ11"/>
    <mergeCell ref="AK11:AO11"/>
    <mergeCell ref="BP10:BT10"/>
    <mergeCell ref="BU10:BY10"/>
    <mergeCell ref="BZ10:CD10"/>
    <mergeCell ref="CE10:CI10"/>
    <mergeCell ref="CJ10:CN10"/>
    <mergeCell ref="CO10:CS10"/>
    <mergeCell ref="AF10:AJ10"/>
    <mergeCell ref="AK10:AO10"/>
    <mergeCell ref="AP10:AT10"/>
    <mergeCell ref="AU10:AY10"/>
    <mergeCell ref="BE10:BJ10"/>
    <mergeCell ref="BK10:BO10"/>
    <mergeCell ref="A10:F10"/>
    <mergeCell ref="G10:K10"/>
    <mergeCell ref="L10:P10"/>
    <mergeCell ref="Q10:U10"/>
    <mergeCell ref="V10:Z10"/>
    <mergeCell ref="AA10:AE10"/>
    <mergeCell ref="BZ9:CD9"/>
    <mergeCell ref="CE9:CI9"/>
    <mergeCell ref="CJ9:CN9"/>
    <mergeCell ref="CO9:CS9"/>
    <mergeCell ref="CT9:CX9"/>
    <mergeCell ref="CY9:DC9"/>
    <mergeCell ref="AP9:AT9"/>
    <mergeCell ref="AU9:AY9"/>
    <mergeCell ref="BE9:BJ9"/>
    <mergeCell ref="BK9:BO9"/>
    <mergeCell ref="BP9:BT9"/>
    <mergeCell ref="BU9:BY9"/>
    <mergeCell ref="CT8:CX8"/>
    <mergeCell ref="CY8:DC8"/>
    <mergeCell ref="A9:F9"/>
    <mergeCell ref="G9:K9"/>
    <mergeCell ref="L9:P9"/>
    <mergeCell ref="Q9:U9"/>
    <mergeCell ref="V9:Z9"/>
    <mergeCell ref="AA9:AE9"/>
    <mergeCell ref="AF9:AJ9"/>
    <mergeCell ref="AK9:AO9"/>
    <mergeCell ref="BP8:BT8"/>
    <mergeCell ref="BU8:BY8"/>
    <mergeCell ref="BZ8:CD8"/>
    <mergeCell ref="CE8:CI8"/>
    <mergeCell ref="CJ8:CN8"/>
    <mergeCell ref="CO8:CS8"/>
    <mergeCell ref="AF8:AJ8"/>
    <mergeCell ref="AK8:AO8"/>
    <mergeCell ref="AP8:AT8"/>
    <mergeCell ref="AU8:AY8"/>
    <mergeCell ref="BE8:BJ8"/>
    <mergeCell ref="BK8:BO8"/>
    <mergeCell ref="A8:F8"/>
    <mergeCell ref="G8:K8"/>
    <mergeCell ref="L8:P8"/>
    <mergeCell ref="Q8:U8"/>
    <mergeCell ref="V8:Z8"/>
    <mergeCell ref="AA8:AE8"/>
    <mergeCell ref="Q6:U7"/>
    <mergeCell ref="V6:AY6"/>
    <mergeCell ref="V7:Z7"/>
    <mergeCell ref="AA7:AE7"/>
    <mergeCell ref="AF7:AJ7"/>
    <mergeCell ref="AK7:AO7"/>
    <mergeCell ref="AP7:AT7"/>
    <mergeCell ref="AU7:AY7"/>
    <mergeCell ref="BZ5:CD7"/>
    <mergeCell ref="CE5:CI7"/>
    <mergeCell ref="CJ5:CN7"/>
    <mergeCell ref="CO5:CS7"/>
    <mergeCell ref="CT5:CX7"/>
    <mergeCell ref="CY5:DC7"/>
    <mergeCell ref="AS4:AY4"/>
    <mergeCell ref="CW4:DC4"/>
    <mergeCell ref="A5:F7"/>
    <mergeCell ref="G5:K7"/>
    <mergeCell ref="L5:P7"/>
    <mergeCell ref="Q5:AY5"/>
    <mergeCell ref="BE5:BJ7"/>
    <mergeCell ref="BK5:BO7"/>
    <mergeCell ref="BP5:BT7"/>
    <mergeCell ref="BU5:BY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&amp;P+57 -</oddFooter>
  </headerFooter>
  <colBreaks count="1" manualBreakCount="1">
    <brk id="5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3" sqref="H13"/>
    </sheetView>
  </sheetViews>
  <sheetFormatPr defaultColWidth="9.00390625" defaultRowHeight="13.5"/>
  <cols>
    <col min="1" max="1" width="1.25" style="60" customWidth="1"/>
    <col min="2" max="2" width="9.00390625" style="60" customWidth="1"/>
    <col min="3" max="3" width="7.625" style="60" customWidth="1"/>
    <col min="4" max="4" width="6.375" style="60" customWidth="1"/>
    <col min="5" max="10" width="7.25390625" style="60" customWidth="1"/>
    <col min="11" max="14" width="7.625" style="60" customWidth="1"/>
    <col min="15" max="16" width="9.50390625" style="60" customWidth="1"/>
    <col min="17" max="17" width="8.375" style="60" customWidth="1"/>
    <col min="18" max="18" width="8.375" style="414" customWidth="1"/>
    <col min="19" max="19" width="10.25390625" style="60" customWidth="1"/>
    <col min="20" max="20" width="12.00390625" style="60" customWidth="1"/>
    <col min="21" max="21" width="8.00390625" style="60" customWidth="1"/>
    <col min="22" max="22" width="8.25390625" style="60" customWidth="1"/>
  </cols>
  <sheetData>
    <row r="1" spans="1:20" ht="30.75" customHeight="1">
      <c r="A1" s="780" t="s">
        <v>497</v>
      </c>
      <c r="P1" s="328"/>
      <c r="T1" s="1057"/>
    </row>
    <row r="2" spans="1:17" ht="29.25" customHeight="1">
      <c r="A2" s="60" t="s">
        <v>498</v>
      </c>
      <c r="I2" s="1058"/>
      <c r="J2" s="1058"/>
      <c r="O2" s="1059"/>
      <c r="P2" s="1059"/>
      <c r="Q2" s="328"/>
    </row>
    <row r="3" spans="9:17" ht="15.75" customHeight="1" thickBot="1">
      <c r="I3" s="1058"/>
      <c r="J3" s="1058"/>
      <c r="O3" s="1060"/>
      <c r="P3" s="1060"/>
      <c r="Q3" s="1061"/>
    </row>
    <row r="4" spans="1:22" ht="21" customHeight="1">
      <c r="A4" s="544" t="s">
        <v>52</v>
      </c>
      <c r="B4" s="723"/>
      <c r="C4" s="723" t="s">
        <v>499</v>
      </c>
      <c r="D4" s="723"/>
      <c r="E4" s="723"/>
      <c r="F4" s="723"/>
      <c r="G4" s="723"/>
      <c r="H4" s="723"/>
      <c r="I4" s="723"/>
      <c r="J4" s="723"/>
      <c r="K4" s="723" t="s">
        <v>500</v>
      </c>
      <c r="L4" s="723"/>
      <c r="M4" s="723"/>
      <c r="N4" s="723"/>
      <c r="O4" s="723" t="s">
        <v>501</v>
      </c>
      <c r="P4" s="723"/>
      <c r="Q4" s="723"/>
      <c r="R4" s="723"/>
      <c r="S4" s="1062" t="s">
        <v>502</v>
      </c>
      <c r="T4" s="1062"/>
      <c r="U4" s="723" t="s">
        <v>503</v>
      </c>
      <c r="V4" s="770"/>
    </row>
    <row r="5" spans="1:22" ht="20.25" customHeight="1">
      <c r="A5" s="553"/>
      <c r="B5" s="727"/>
      <c r="C5" s="1063" t="s">
        <v>10</v>
      </c>
      <c r="D5" s="733" t="s">
        <v>504</v>
      </c>
      <c r="E5" s="727" t="s">
        <v>16</v>
      </c>
      <c r="F5" s="727"/>
      <c r="G5" s="727"/>
      <c r="H5" s="1064" t="s">
        <v>505</v>
      </c>
      <c r="I5" s="1065"/>
      <c r="J5" s="565"/>
      <c r="K5" s="1066" t="s">
        <v>506</v>
      </c>
      <c r="L5" s="1066" t="s">
        <v>507</v>
      </c>
      <c r="M5" s="1067" t="s">
        <v>508</v>
      </c>
      <c r="N5" s="1068"/>
      <c r="O5" s="727" t="s">
        <v>509</v>
      </c>
      <c r="P5" s="727" t="s">
        <v>510</v>
      </c>
      <c r="Q5" s="727"/>
      <c r="R5" s="733" t="s">
        <v>511</v>
      </c>
      <c r="S5" s="733" t="s">
        <v>512</v>
      </c>
      <c r="T5" s="727" t="s">
        <v>268</v>
      </c>
      <c r="U5" s="727" t="s">
        <v>494</v>
      </c>
      <c r="V5" s="1069" t="s">
        <v>513</v>
      </c>
    </row>
    <row r="6" spans="1:22" ht="20.25" customHeight="1">
      <c r="A6" s="553"/>
      <c r="B6" s="727"/>
      <c r="C6" s="1063"/>
      <c r="D6" s="733"/>
      <c r="E6" s="727" t="s">
        <v>99</v>
      </c>
      <c r="F6" s="727" t="s">
        <v>100</v>
      </c>
      <c r="G6" s="727"/>
      <c r="H6" s="1066" t="s">
        <v>514</v>
      </c>
      <c r="I6" s="1064" t="s">
        <v>16</v>
      </c>
      <c r="J6" s="565"/>
      <c r="K6" s="1070"/>
      <c r="L6" s="1070"/>
      <c r="M6" s="733"/>
      <c r="N6" s="1066" t="s">
        <v>515</v>
      </c>
      <c r="O6" s="727"/>
      <c r="P6" s="727" t="s">
        <v>516</v>
      </c>
      <c r="Q6" s="733" t="s">
        <v>517</v>
      </c>
      <c r="R6" s="733"/>
      <c r="S6" s="733"/>
      <c r="T6" s="727"/>
      <c r="U6" s="727"/>
      <c r="V6" s="1071"/>
    </row>
    <row r="7" spans="1:22" ht="47.25" customHeight="1">
      <c r="A7" s="553"/>
      <c r="B7" s="727"/>
      <c r="C7" s="1063"/>
      <c r="D7" s="733"/>
      <c r="E7" s="727"/>
      <c r="F7" s="1072" t="s">
        <v>518</v>
      </c>
      <c r="G7" s="1072" t="s">
        <v>519</v>
      </c>
      <c r="H7" s="1073"/>
      <c r="I7" s="554" t="s">
        <v>520</v>
      </c>
      <c r="J7" s="554" t="s">
        <v>521</v>
      </c>
      <c r="K7" s="1074"/>
      <c r="L7" s="1074"/>
      <c r="M7" s="733"/>
      <c r="N7" s="1074"/>
      <c r="O7" s="727"/>
      <c r="P7" s="727"/>
      <c r="Q7" s="733"/>
      <c r="R7" s="733"/>
      <c r="S7" s="733"/>
      <c r="T7" s="727"/>
      <c r="U7" s="727"/>
      <c r="V7" s="1071"/>
    </row>
    <row r="8" spans="1:22" ht="18.75" customHeight="1">
      <c r="A8" s="1075" t="s">
        <v>522</v>
      </c>
      <c r="B8" s="1076"/>
      <c r="C8" s="1077" t="s">
        <v>8</v>
      </c>
      <c r="D8" s="1078" t="s">
        <v>8</v>
      </c>
      <c r="E8" s="1079" t="s">
        <v>8</v>
      </c>
      <c r="F8" s="1080" t="s">
        <v>8</v>
      </c>
      <c r="G8" s="1080" t="s">
        <v>8</v>
      </c>
      <c r="H8" s="1079" t="s">
        <v>523</v>
      </c>
      <c r="I8" s="1079" t="s">
        <v>523</v>
      </c>
      <c r="J8" s="1079" t="s">
        <v>523</v>
      </c>
      <c r="K8" s="1078" t="s">
        <v>524</v>
      </c>
      <c r="L8" s="1078" t="s">
        <v>524</v>
      </c>
      <c r="M8" s="1078" t="s">
        <v>524</v>
      </c>
      <c r="N8" s="1078" t="s">
        <v>524</v>
      </c>
      <c r="O8" s="792" t="s">
        <v>525</v>
      </c>
      <c r="P8" s="792" t="s">
        <v>525</v>
      </c>
      <c r="Q8" s="1078" t="s">
        <v>526</v>
      </c>
      <c r="R8" s="1081" t="s">
        <v>525</v>
      </c>
      <c r="S8" s="1078" t="s">
        <v>263</v>
      </c>
      <c r="T8" s="792" t="s">
        <v>525</v>
      </c>
      <c r="U8" s="1079" t="s">
        <v>263</v>
      </c>
      <c r="V8" s="1082" t="s">
        <v>527</v>
      </c>
    </row>
    <row r="9" spans="1:22" ht="25.5" customHeight="1">
      <c r="A9" s="1083" t="s">
        <v>528</v>
      </c>
      <c r="B9" s="1084"/>
      <c r="C9" s="1085">
        <v>78453</v>
      </c>
      <c r="D9" s="1085">
        <v>24044</v>
      </c>
      <c r="E9" s="1085">
        <v>10781</v>
      </c>
      <c r="F9" s="1085">
        <v>7554</v>
      </c>
      <c r="G9" s="1085">
        <v>36074</v>
      </c>
      <c r="H9" s="1086">
        <f>D9/C9*100</f>
        <v>30.64764891081284</v>
      </c>
      <c r="I9" s="1086">
        <f aca="true" t="shared" si="0" ref="I9:I28">E9/C9*100</f>
        <v>13.741985647457714</v>
      </c>
      <c r="J9" s="1086">
        <f>(F9+G9)/C9*100</f>
        <v>55.61036544172945</v>
      </c>
      <c r="K9" s="1085">
        <v>148941</v>
      </c>
      <c r="L9" s="1085">
        <v>79324</v>
      </c>
      <c r="M9" s="1085">
        <v>62368</v>
      </c>
      <c r="N9" s="1085">
        <v>43568</v>
      </c>
      <c r="O9" s="1087">
        <v>12263322</v>
      </c>
      <c r="P9" s="1087">
        <v>11282897</v>
      </c>
      <c r="Q9" s="1086">
        <f aca="true" t="shared" si="1" ref="Q9:Q28">P9/O9*100</f>
        <v>92.00522501162409</v>
      </c>
      <c r="R9" s="561">
        <v>226</v>
      </c>
      <c r="S9" s="793">
        <v>16536</v>
      </c>
      <c r="T9" s="793">
        <v>414216</v>
      </c>
      <c r="U9" s="793">
        <v>1931</v>
      </c>
      <c r="V9" s="1088">
        <v>90004</v>
      </c>
    </row>
    <row r="10" spans="1:22" ht="25.5" customHeight="1">
      <c r="A10" s="1089" t="s">
        <v>7</v>
      </c>
      <c r="B10" s="1090"/>
      <c r="C10" s="1085">
        <v>3428</v>
      </c>
      <c r="D10" s="1085">
        <v>907</v>
      </c>
      <c r="E10" s="1085">
        <v>422</v>
      </c>
      <c r="F10" s="1085">
        <v>478</v>
      </c>
      <c r="G10" s="1085">
        <v>1621</v>
      </c>
      <c r="H10" s="1086">
        <f>D10/C10*100</f>
        <v>26.4585764294049</v>
      </c>
      <c r="I10" s="1086">
        <f t="shared" si="0"/>
        <v>12.310385064177364</v>
      </c>
      <c r="J10" s="1086">
        <f>(F10+G10)/C10*100</f>
        <v>61.23103850641773</v>
      </c>
      <c r="K10" s="1085">
        <v>7210</v>
      </c>
      <c r="L10" s="1085">
        <v>3933</v>
      </c>
      <c r="M10" s="1085">
        <v>2982</v>
      </c>
      <c r="N10" s="1085">
        <v>1930</v>
      </c>
      <c r="O10" s="1085">
        <v>768124</v>
      </c>
      <c r="P10" s="1085">
        <v>712915</v>
      </c>
      <c r="Q10" s="1086">
        <f t="shared" si="1"/>
        <v>92.81248860861007</v>
      </c>
      <c r="R10" s="561">
        <v>305</v>
      </c>
      <c r="S10" s="793">
        <v>745</v>
      </c>
      <c r="T10" s="793">
        <v>18963</v>
      </c>
      <c r="U10" s="561">
        <v>23</v>
      </c>
      <c r="V10" s="1088">
        <v>841</v>
      </c>
    </row>
    <row r="11" spans="1:22" ht="25.5" customHeight="1">
      <c r="A11" s="1083" t="s">
        <v>529</v>
      </c>
      <c r="B11" s="1084"/>
      <c r="C11" s="1085">
        <v>11253</v>
      </c>
      <c r="D11" s="1085">
        <v>3004</v>
      </c>
      <c r="E11" s="1085">
        <v>1752</v>
      </c>
      <c r="F11" s="1085">
        <v>2055</v>
      </c>
      <c r="G11" s="1085">
        <v>4442</v>
      </c>
      <c r="H11" s="1086">
        <f>D11/C11*100</f>
        <v>26.695103527948106</v>
      </c>
      <c r="I11" s="1086">
        <f t="shared" si="0"/>
        <v>15.569181551586246</v>
      </c>
      <c r="J11" s="1086">
        <f aca="true" t="shared" si="2" ref="J11:J28">(F11+G11)/C11*100</f>
        <v>57.735714920465654</v>
      </c>
      <c r="K11" s="1085">
        <v>25243</v>
      </c>
      <c r="L11" s="1085">
        <v>15257</v>
      </c>
      <c r="M11" s="1085">
        <v>13170</v>
      </c>
      <c r="N11" s="1085">
        <v>7814</v>
      </c>
      <c r="O11" s="1085">
        <v>2675542</v>
      </c>
      <c r="P11" s="1085">
        <v>2407602</v>
      </c>
      <c r="Q11" s="1086">
        <f t="shared" si="1"/>
        <v>89.9855804917284</v>
      </c>
      <c r="R11" s="561">
        <v>325</v>
      </c>
      <c r="S11" s="1091">
        <v>1142</v>
      </c>
      <c r="T11" s="1091">
        <v>26258</v>
      </c>
      <c r="U11" s="561">
        <v>15</v>
      </c>
      <c r="V11" s="1088">
        <v>10384</v>
      </c>
    </row>
    <row r="12" spans="1:22" ht="25.5" customHeight="1">
      <c r="A12" s="1092" t="s">
        <v>530</v>
      </c>
      <c r="B12" s="1093"/>
      <c r="C12" s="1085">
        <v>7538</v>
      </c>
      <c r="D12" s="1085">
        <v>2560</v>
      </c>
      <c r="E12" s="1085">
        <v>997</v>
      </c>
      <c r="F12" s="1085">
        <v>470</v>
      </c>
      <c r="G12" s="1085">
        <v>3511</v>
      </c>
      <c r="H12" s="1086">
        <f>D12/C12*100</f>
        <v>33.961262934465374</v>
      </c>
      <c r="I12" s="1086">
        <f t="shared" si="0"/>
        <v>13.226319978774212</v>
      </c>
      <c r="J12" s="1086">
        <f t="shared" si="2"/>
        <v>52.81241708676041</v>
      </c>
      <c r="K12" s="1085">
        <v>13471</v>
      </c>
      <c r="L12" s="1085">
        <v>6916</v>
      </c>
      <c r="M12" s="1085">
        <v>5322</v>
      </c>
      <c r="N12" s="1085">
        <v>3992</v>
      </c>
      <c r="O12" s="1085">
        <v>1160471</v>
      </c>
      <c r="P12" s="1085">
        <v>1109535</v>
      </c>
      <c r="Q12" s="1086">
        <f t="shared" si="1"/>
        <v>95.61074770502667</v>
      </c>
      <c r="R12" s="561">
        <v>233</v>
      </c>
      <c r="S12" s="1091">
        <v>1854</v>
      </c>
      <c r="T12" s="1091">
        <v>47558</v>
      </c>
      <c r="U12" s="561">
        <v>96</v>
      </c>
      <c r="V12" s="1088">
        <v>777</v>
      </c>
    </row>
    <row r="13" spans="1:22" ht="25.5" customHeight="1">
      <c r="A13" s="1083" t="s">
        <v>531</v>
      </c>
      <c r="B13" s="1084"/>
      <c r="C13" s="1085">
        <v>3201</v>
      </c>
      <c r="D13" s="1085">
        <v>775</v>
      </c>
      <c r="E13" s="1085">
        <v>384</v>
      </c>
      <c r="F13" s="1085">
        <v>267</v>
      </c>
      <c r="G13" s="1085">
        <v>1775</v>
      </c>
      <c r="H13" s="1086">
        <f aca="true" t="shared" si="3" ref="H13:H28">D13/C13*100</f>
        <v>24.211184004998437</v>
      </c>
      <c r="I13" s="1086">
        <f t="shared" si="0"/>
        <v>11.996251171508904</v>
      </c>
      <c r="J13" s="1086">
        <f t="shared" si="2"/>
        <v>63.79256482349266</v>
      </c>
      <c r="K13" s="1085">
        <v>7154</v>
      </c>
      <c r="L13" s="1085">
        <v>3404</v>
      </c>
      <c r="M13" s="1085">
        <v>2712</v>
      </c>
      <c r="N13" s="1085">
        <v>1896</v>
      </c>
      <c r="O13" s="1085">
        <v>490573</v>
      </c>
      <c r="P13" s="1085">
        <v>447906</v>
      </c>
      <c r="Q13" s="1086">
        <f t="shared" si="1"/>
        <v>91.30261958974505</v>
      </c>
      <c r="R13" s="561">
        <v>202</v>
      </c>
      <c r="S13" s="1091">
        <v>735</v>
      </c>
      <c r="T13" s="1091">
        <v>17755</v>
      </c>
      <c r="U13" s="561">
        <v>98</v>
      </c>
      <c r="V13" s="1088">
        <v>1077</v>
      </c>
    </row>
    <row r="14" spans="1:22" ht="25.5" customHeight="1">
      <c r="A14" s="1083" t="s">
        <v>532</v>
      </c>
      <c r="B14" s="1084"/>
      <c r="C14" s="1085">
        <v>2268</v>
      </c>
      <c r="D14" s="1085">
        <v>873</v>
      </c>
      <c r="E14" s="1085">
        <v>394</v>
      </c>
      <c r="F14" s="1085">
        <v>140</v>
      </c>
      <c r="G14" s="1085">
        <v>861</v>
      </c>
      <c r="H14" s="1086">
        <f t="shared" si="3"/>
        <v>38.492063492063494</v>
      </c>
      <c r="I14" s="1086">
        <f t="shared" si="0"/>
        <v>17.372134038800706</v>
      </c>
      <c r="J14" s="1086">
        <f t="shared" si="2"/>
        <v>44.135802469135804</v>
      </c>
      <c r="K14" s="1085">
        <v>3257</v>
      </c>
      <c r="L14" s="1085">
        <v>1934</v>
      </c>
      <c r="M14" s="1085">
        <v>1367</v>
      </c>
      <c r="N14" s="1085">
        <v>1105</v>
      </c>
      <c r="O14" s="1085">
        <v>263532</v>
      </c>
      <c r="P14" s="1085">
        <v>255682</v>
      </c>
      <c r="Q14" s="1086">
        <f t="shared" si="1"/>
        <v>97.02123461287434</v>
      </c>
      <c r="R14" s="561">
        <v>189</v>
      </c>
      <c r="S14" s="1091">
        <v>688</v>
      </c>
      <c r="T14" s="1091">
        <v>15448</v>
      </c>
      <c r="U14" s="561">
        <v>37</v>
      </c>
      <c r="V14" s="1088">
        <v>2294</v>
      </c>
    </row>
    <row r="15" spans="1:22" ht="25.5" customHeight="1">
      <c r="A15" s="1083" t="s">
        <v>533</v>
      </c>
      <c r="B15" s="1084"/>
      <c r="C15" s="1085">
        <v>2049</v>
      </c>
      <c r="D15" s="1085">
        <v>647</v>
      </c>
      <c r="E15" s="1085">
        <v>217</v>
      </c>
      <c r="F15" s="1085">
        <v>142</v>
      </c>
      <c r="G15" s="1085">
        <v>1043</v>
      </c>
      <c r="H15" s="1086">
        <f t="shared" si="3"/>
        <v>31.576378721327476</v>
      </c>
      <c r="I15" s="1094">
        <f t="shared" si="0"/>
        <v>10.59053196681308</v>
      </c>
      <c r="J15" s="1086">
        <f t="shared" si="2"/>
        <v>57.83308931185944</v>
      </c>
      <c r="K15" s="1085">
        <v>3840</v>
      </c>
      <c r="L15" s="1085">
        <v>1976</v>
      </c>
      <c r="M15" s="1085">
        <v>1325</v>
      </c>
      <c r="N15" s="1085">
        <v>1001</v>
      </c>
      <c r="O15" s="1085">
        <v>242627</v>
      </c>
      <c r="P15" s="1085">
        <v>221324</v>
      </c>
      <c r="Q15" s="1095">
        <f t="shared" si="1"/>
        <v>91.2198559929439</v>
      </c>
      <c r="R15" s="561">
        <v>173</v>
      </c>
      <c r="S15" s="1091">
        <v>552</v>
      </c>
      <c r="T15" s="1091">
        <v>13677</v>
      </c>
      <c r="U15" s="561">
        <v>10</v>
      </c>
      <c r="V15" s="773">
        <v>43</v>
      </c>
    </row>
    <row r="16" spans="1:22" ht="25.5" customHeight="1">
      <c r="A16" s="1083" t="s">
        <v>534</v>
      </c>
      <c r="B16" s="1084"/>
      <c r="C16" s="1085">
        <v>969</v>
      </c>
      <c r="D16" s="1085">
        <v>261</v>
      </c>
      <c r="E16" s="1085">
        <v>129</v>
      </c>
      <c r="F16" s="1085">
        <v>121</v>
      </c>
      <c r="G16" s="1085">
        <v>458</v>
      </c>
      <c r="H16" s="1086">
        <f t="shared" si="3"/>
        <v>26.93498452012384</v>
      </c>
      <c r="I16" s="1094">
        <f t="shared" si="0"/>
        <v>13.312693498452013</v>
      </c>
      <c r="J16" s="1086">
        <f t="shared" si="2"/>
        <v>59.75232198142415</v>
      </c>
      <c r="K16" s="1085">
        <v>2169</v>
      </c>
      <c r="L16" s="1085">
        <v>1249</v>
      </c>
      <c r="M16" s="1085">
        <v>1017</v>
      </c>
      <c r="N16" s="1085">
        <v>619</v>
      </c>
      <c r="O16" s="1085">
        <v>148663</v>
      </c>
      <c r="P16" s="1085">
        <v>127488</v>
      </c>
      <c r="Q16" s="1095">
        <f t="shared" si="1"/>
        <v>85.75637515723483</v>
      </c>
      <c r="R16" s="561">
        <v>210</v>
      </c>
      <c r="S16" s="1091">
        <v>234</v>
      </c>
      <c r="T16" s="1091">
        <v>6262</v>
      </c>
      <c r="U16" s="561">
        <v>61</v>
      </c>
      <c r="V16" s="773">
        <v>636</v>
      </c>
    </row>
    <row r="17" spans="1:22" ht="25.5" customHeight="1">
      <c r="A17" s="1092" t="s">
        <v>535</v>
      </c>
      <c r="B17" s="1093"/>
      <c r="C17" s="1085">
        <v>4870</v>
      </c>
      <c r="D17" s="1085">
        <v>1512</v>
      </c>
      <c r="E17" s="1085">
        <v>586</v>
      </c>
      <c r="F17" s="1085">
        <v>342</v>
      </c>
      <c r="G17" s="1085">
        <v>2430</v>
      </c>
      <c r="H17" s="1086">
        <f t="shared" si="3"/>
        <v>31.04722792607803</v>
      </c>
      <c r="I17" s="1094">
        <f t="shared" si="0"/>
        <v>12.032854209445585</v>
      </c>
      <c r="J17" s="1086">
        <f t="shared" si="2"/>
        <v>56.91991786447639</v>
      </c>
      <c r="K17" s="1085">
        <v>7951</v>
      </c>
      <c r="L17" s="1085">
        <v>3848</v>
      </c>
      <c r="M17" s="1085">
        <v>2738</v>
      </c>
      <c r="N17" s="1085">
        <v>2140</v>
      </c>
      <c r="O17" s="1085">
        <v>417415</v>
      </c>
      <c r="P17" s="1085">
        <v>373748</v>
      </c>
      <c r="Q17" s="1095">
        <f t="shared" si="1"/>
        <v>89.5387084795707</v>
      </c>
      <c r="R17" s="561">
        <v>124</v>
      </c>
      <c r="S17" s="1091">
        <v>1215</v>
      </c>
      <c r="T17" s="1091">
        <v>33949</v>
      </c>
      <c r="U17" s="561">
        <v>92</v>
      </c>
      <c r="V17" s="773">
        <v>1174</v>
      </c>
    </row>
    <row r="18" spans="1:22" ht="25.5" customHeight="1">
      <c r="A18" s="1083" t="s">
        <v>536</v>
      </c>
      <c r="B18" s="1084"/>
      <c r="C18" s="1085">
        <v>1185</v>
      </c>
      <c r="D18" s="1096">
        <v>308</v>
      </c>
      <c r="E18" s="1096">
        <v>114</v>
      </c>
      <c r="F18" s="1085">
        <v>99</v>
      </c>
      <c r="G18" s="1085">
        <v>664</v>
      </c>
      <c r="H18" s="1086">
        <f t="shared" si="3"/>
        <v>25.991561181434598</v>
      </c>
      <c r="I18" s="1094">
        <f t="shared" si="0"/>
        <v>9.620253164556962</v>
      </c>
      <c r="J18" s="1086">
        <f t="shared" si="2"/>
        <v>64.38818565400844</v>
      </c>
      <c r="K18" s="1085">
        <v>2573</v>
      </c>
      <c r="L18" s="1085">
        <v>1265</v>
      </c>
      <c r="M18" s="1096">
        <v>920</v>
      </c>
      <c r="N18" s="1096">
        <v>688</v>
      </c>
      <c r="O18" s="1096">
        <v>207754</v>
      </c>
      <c r="P18" s="1096">
        <v>197626</v>
      </c>
      <c r="Q18" s="1095">
        <f t="shared" si="1"/>
        <v>95.12500361003879</v>
      </c>
      <c r="R18" s="561">
        <v>237</v>
      </c>
      <c r="S18" s="1091">
        <v>256</v>
      </c>
      <c r="T18" s="1091">
        <v>5348</v>
      </c>
      <c r="U18" s="561">
        <v>11</v>
      </c>
      <c r="V18" s="773">
        <v>58</v>
      </c>
    </row>
    <row r="19" spans="1:22" ht="25.5" customHeight="1">
      <c r="A19" s="1083" t="s">
        <v>537</v>
      </c>
      <c r="B19" s="1084"/>
      <c r="C19" s="1085">
        <v>3493</v>
      </c>
      <c r="D19" s="1096">
        <v>1370</v>
      </c>
      <c r="E19" s="1096">
        <v>347</v>
      </c>
      <c r="F19" s="1085">
        <v>346</v>
      </c>
      <c r="G19" s="1085">
        <v>1430</v>
      </c>
      <c r="H19" s="1086">
        <f t="shared" si="3"/>
        <v>39.22129974234183</v>
      </c>
      <c r="I19" s="1094">
        <f t="shared" si="0"/>
        <v>9.934154022330375</v>
      </c>
      <c r="J19" s="1086">
        <f t="shared" si="2"/>
        <v>50.844546235327805</v>
      </c>
      <c r="K19" s="1085">
        <v>5778</v>
      </c>
      <c r="L19" s="1085">
        <v>2992</v>
      </c>
      <c r="M19" s="1096">
        <v>2345</v>
      </c>
      <c r="N19" s="1096">
        <v>1697</v>
      </c>
      <c r="O19" s="1096">
        <v>516911</v>
      </c>
      <c r="P19" s="1096">
        <v>477870</v>
      </c>
      <c r="Q19" s="1095">
        <f t="shared" si="1"/>
        <v>92.44724913960043</v>
      </c>
      <c r="R19" s="561">
        <v>244</v>
      </c>
      <c r="S19" s="1091">
        <v>849</v>
      </c>
      <c r="T19" s="1091">
        <v>24546</v>
      </c>
      <c r="U19" s="561">
        <v>595</v>
      </c>
      <c r="V19" s="773">
        <v>17714</v>
      </c>
    </row>
    <row r="20" spans="1:22" ht="25.5" customHeight="1">
      <c r="A20" s="1083" t="s">
        <v>538</v>
      </c>
      <c r="B20" s="1084"/>
      <c r="C20" s="1085">
        <v>1912</v>
      </c>
      <c r="D20" s="1096">
        <v>536</v>
      </c>
      <c r="E20" s="1096">
        <v>232</v>
      </c>
      <c r="F20" s="1085">
        <v>262</v>
      </c>
      <c r="G20" s="1085">
        <v>882</v>
      </c>
      <c r="H20" s="1086">
        <f t="shared" si="3"/>
        <v>28.03347280334728</v>
      </c>
      <c r="I20" s="1094">
        <f t="shared" si="0"/>
        <v>12.133891213389122</v>
      </c>
      <c r="J20" s="1086">
        <f t="shared" si="2"/>
        <v>59.83263598326359</v>
      </c>
      <c r="K20" s="1085">
        <v>4418</v>
      </c>
      <c r="L20" s="1085">
        <v>2392</v>
      </c>
      <c r="M20" s="1096">
        <v>1898</v>
      </c>
      <c r="N20" s="1096">
        <v>1280</v>
      </c>
      <c r="O20" s="1096">
        <v>451973</v>
      </c>
      <c r="P20" s="1096">
        <v>434732</v>
      </c>
      <c r="Q20" s="1095">
        <f t="shared" si="1"/>
        <v>96.18539160525076</v>
      </c>
      <c r="R20" s="561">
        <v>329</v>
      </c>
      <c r="S20" s="1091">
        <v>231</v>
      </c>
      <c r="T20" s="1091">
        <v>4322</v>
      </c>
      <c r="U20" s="562">
        <v>0</v>
      </c>
      <c r="V20" s="767">
        <v>0</v>
      </c>
    </row>
    <row r="21" spans="1:22" ht="25.5" customHeight="1">
      <c r="A21" s="1083" t="s">
        <v>539</v>
      </c>
      <c r="B21" s="1084"/>
      <c r="C21" s="1085">
        <v>2071</v>
      </c>
      <c r="D21" s="1096">
        <v>963</v>
      </c>
      <c r="E21" s="1096">
        <v>265</v>
      </c>
      <c r="F21" s="1085">
        <v>77</v>
      </c>
      <c r="G21" s="1085">
        <v>766</v>
      </c>
      <c r="H21" s="1086">
        <f t="shared" si="3"/>
        <v>46.49927571221632</v>
      </c>
      <c r="I21" s="1094">
        <f t="shared" si="0"/>
        <v>12.795750845002415</v>
      </c>
      <c r="J21" s="1086">
        <f t="shared" si="2"/>
        <v>40.70497344278127</v>
      </c>
      <c r="K21" s="1085">
        <v>2748</v>
      </c>
      <c r="L21" s="1085">
        <v>1469</v>
      </c>
      <c r="M21" s="1096">
        <v>1142</v>
      </c>
      <c r="N21" s="1096">
        <v>968</v>
      </c>
      <c r="O21" s="1096">
        <v>125580</v>
      </c>
      <c r="P21" s="1096">
        <v>120229</v>
      </c>
      <c r="Q21" s="1095">
        <f t="shared" si="1"/>
        <v>95.73897117375378</v>
      </c>
      <c r="R21" s="561">
        <v>113</v>
      </c>
      <c r="S21" s="1091">
        <v>336</v>
      </c>
      <c r="T21" s="1091">
        <v>8079</v>
      </c>
      <c r="U21" s="561">
        <v>71</v>
      </c>
      <c r="V21" s="773">
        <v>7756</v>
      </c>
    </row>
    <row r="22" spans="1:22" ht="25.5" customHeight="1">
      <c r="A22" s="1083" t="s">
        <v>540</v>
      </c>
      <c r="B22" s="1084"/>
      <c r="C22" s="1085">
        <v>1968</v>
      </c>
      <c r="D22" s="1096">
        <v>822</v>
      </c>
      <c r="E22" s="1096">
        <v>269</v>
      </c>
      <c r="F22" s="1085">
        <v>110</v>
      </c>
      <c r="G22" s="1085">
        <v>767</v>
      </c>
      <c r="H22" s="1086">
        <f t="shared" si="3"/>
        <v>41.76829268292683</v>
      </c>
      <c r="I22" s="1094">
        <f t="shared" si="0"/>
        <v>13.66869918699187</v>
      </c>
      <c r="J22" s="1086">
        <f t="shared" si="2"/>
        <v>44.5630081300813</v>
      </c>
      <c r="K22" s="1085">
        <v>3078</v>
      </c>
      <c r="L22" s="1085">
        <v>1468</v>
      </c>
      <c r="M22" s="1096">
        <v>1280</v>
      </c>
      <c r="N22" s="1096">
        <v>1016</v>
      </c>
      <c r="O22" s="1096">
        <v>164508</v>
      </c>
      <c r="P22" s="1096">
        <v>152000</v>
      </c>
      <c r="Q22" s="1095">
        <f t="shared" si="1"/>
        <v>92.39672234784935</v>
      </c>
      <c r="R22" s="561">
        <v>144</v>
      </c>
      <c r="S22" s="1091">
        <v>449</v>
      </c>
      <c r="T22" s="1091">
        <v>10078</v>
      </c>
      <c r="U22" s="561">
        <v>22</v>
      </c>
      <c r="V22" s="773">
        <v>151</v>
      </c>
    </row>
    <row r="23" spans="1:22" ht="25.5" customHeight="1">
      <c r="A23" s="1083" t="s">
        <v>541</v>
      </c>
      <c r="B23" s="1084"/>
      <c r="C23" s="1085">
        <v>2306</v>
      </c>
      <c r="D23" s="1096">
        <v>424</v>
      </c>
      <c r="E23" s="1096">
        <v>335</v>
      </c>
      <c r="F23" s="1085">
        <v>286</v>
      </c>
      <c r="G23" s="1085">
        <v>1261</v>
      </c>
      <c r="H23" s="1086">
        <f t="shared" si="3"/>
        <v>18.386816999132698</v>
      </c>
      <c r="I23" s="1094">
        <f t="shared" si="0"/>
        <v>14.527320034692107</v>
      </c>
      <c r="J23" s="1086">
        <f t="shared" si="2"/>
        <v>67.08586296617518</v>
      </c>
      <c r="K23" s="1085">
        <v>5248</v>
      </c>
      <c r="L23" s="1085">
        <v>2865</v>
      </c>
      <c r="M23" s="1096">
        <v>2209</v>
      </c>
      <c r="N23" s="1096">
        <v>1429</v>
      </c>
      <c r="O23" s="1096">
        <v>457277</v>
      </c>
      <c r="P23" s="1096">
        <v>433289</v>
      </c>
      <c r="Q23" s="1095">
        <f t="shared" si="1"/>
        <v>94.75416432490591</v>
      </c>
      <c r="R23" s="561">
        <v>243</v>
      </c>
      <c r="S23" s="1091">
        <v>497</v>
      </c>
      <c r="T23" s="1091">
        <v>12570</v>
      </c>
      <c r="U23" s="561">
        <v>169</v>
      </c>
      <c r="V23" s="773">
        <v>2181</v>
      </c>
    </row>
    <row r="24" spans="1:22" ht="25.5" customHeight="1">
      <c r="A24" s="1083" t="s">
        <v>542</v>
      </c>
      <c r="B24" s="1084"/>
      <c r="C24" s="1085">
        <v>6759</v>
      </c>
      <c r="D24" s="1096">
        <v>2523</v>
      </c>
      <c r="E24" s="1096">
        <v>848</v>
      </c>
      <c r="F24" s="1085">
        <v>520</v>
      </c>
      <c r="G24" s="1085">
        <v>2868</v>
      </c>
      <c r="H24" s="1086">
        <f t="shared" si="3"/>
        <v>37.32800710164225</v>
      </c>
      <c r="I24" s="1094">
        <f t="shared" si="0"/>
        <v>12.546234650096169</v>
      </c>
      <c r="J24" s="1086">
        <f t="shared" si="2"/>
        <v>50.125758248261576</v>
      </c>
      <c r="K24" s="1085">
        <v>10904</v>
      </c>
      <c r="L24" s="1085">
        <v>5308</v>
      </c>
      <c r="M24" s="1096">
        <v>4198</v>
      </c>
      <c r="N24" s="1096">
        <v>3150</v>
      </c>
      <c r="O24" s="1096">
        <v>1027935</v>
      </c>
      <c r="P24" s="1096">
        <v>993565</v>
      </c>
      <c r="Q24" s="1095">
        <f t="shared" si="1"/>
        <v>96.65640337180854</v>
      </c>
      <c r="R24" s="561">
        <v>243</v>
      </c>
      <c r="S24" s="1091">
        <v>1625</v>
      </c>
      <c r="T24" s="1091">
        <v>42672</v>
      </c>
      <c r="U24" s="561">
        <v>132</v>
      </c>
      <c r="V24" s="773">
        <v>5747</v>
      </c>
    </row>
    <row r="25" spans="1:22" ht="25.5" customHeight="1">
      <c r="A25" s="1083" t="s">
        <v>543</v>
      </c>
      <c r="B25" s="1084"/>
      <c r="C25" s="1085">
        <v>2470</v>
      </c>
      <c r="D25" s="1096">
        <v>349</v>
      </c>
      <c r="E25" s="1096">
        <v>321</v>
      </c>
      <c r="F25" s="1085">
        <v>245</v>
      </c>
      <c r="G25" s="1085">
        <v>1555</v>
      </c>
      <c r="H25" s="1086">
        <f t="shared" si="3"/>
        <v>14.129554655870447</v>
      </c>
      <c r="I25" s="1094">
        <f t="shared" si="0"/>
        <v>12.995951417004047</v>
      </c>
      <c r="J25" s="1086">
        <f t="shared" si="2"/>
        <v>72.8744939271255</v>
      </c>
      <c r="K25" s="1085">
        <v>6466</v>
      </c>
      <c r="L25" s="1085">
        <v>3382</v>
      </c>
      <c r="M25" s="1096">
        <v>2463</v>
      </c>
      <c r="N25" s="1096">
        <v>1684</v>
      </c>
      <c r="O25" s="1096">
        <v>596223</v>
      </c>
      <c r="P25" s="1096">
        <v>574582</v>
      </c>
      <c r="Q25" s="1095">
        <f t="shared" si="1"/>
        <v>96.37031781732674</v>
      </c>
      <c r="R25" s="561">
        <v>281</v>
      </c>
      <c r="S25" s="1091">
        <v>453</v>
      </c>
      <c r="T25" s="1091">
        <v>7121</v>
      </c>
      <c r="U25" s="561">
        <v>20</v>
      </c>
      <c r="V25" s="773">
        <v>1839</v>
      </c>
    </row>
    <row r="26" spans="1:22" ht="25.5" customHeight="1">
      <c r="A26" s="1083" t="s">
        <v>544</v>
      </c>
      <c r="B26" s="1084"/>
      <c r="C26" s="1085">
        <v>5927</v>
      </c>
      <c r="D26" s="1096">
        <v>1614</v>
      </c>
      <c r="E26" s="1096">
        <v>1438</v>
      </c>
      <c r="F26" s="1085">
        <v>342</v>
      </c>
      <c r="G26" s="1085">
        <v>2533</v>
      </c>
      <c r="H26" s="1086">
        <f t="shared" si="3"/>
        <v>27.231314324278728</v>
      </c>
      <c r="I26" s="1094">
        <f t="shared" si="0"/>
        <v>24.261852539227267</v>
      </c>
      <c r="J26" s="1086">
        <f t="shared" si="2"/>
        <v>48.50683313649401</v>
      </c>
      <c r="K26" s="1085">
        <v>10918</v>
      </c>
      <c r="L26" s="1085">
        <v>6332</v>
      </c>
      <c r="M26" s="1096">
        <v>5506</v>
      </c>
      <c r="N26" s="1096">
        <v>4279</v>
      </c>
      <c r="O26" s="1096">
        <v>721449</v>
      </c>
      <c r="P26" s="1096">
        <v>634176</v>
      </c>
      <c r="Q26" s="1095">
        <f t="shared" si="1"/>
        <v>87.90309502126969</v>
      </c>
      <c r="R26" s="561">
        <v>167</v>
      </c>
      <c r="S26" s="1091">
        <v>1808</v>
      </c>
      <c r="T26" s="1091">
        <v>55405</v>
      </c>
      <c r="U26" s="561">
        <v>179</v>
      </c>
      <c r="V26" s="773">
        <v>12117</v>
      </c>
    </row>
    <row r="27" spans="1:22" ht="25.5" customHeight="1">
      <c r="A27" s="1092" t="s">
        <v>545</v>
      </c>
      <c r="B27" s="1093"/>
      <c r="C27" s="1085">
        <v>3089</v>
      </c>
      <c r="D27" s="1097">
        <v>1042</v>
      </c>
      <c r="E27" s="1097">
        <v>378</v>
      </c>
      <c r="F27" s="1098">
        <v>130</v>
      </c>
      <c r="G27" s="1098">
        <v>1539</v>
      </c>
      <c r="H27" s="1086">
        <f t="shared" si="3"/>
        <v>33.73259954677889</v>
      </c>
      <c r="I27" s="1094">
        <f t="shared" si="0"/>
        <v>12.236969893169311</v>
      </c>
      <c r="J27" s="1086">
        <f t="shared" si="2"/>
        <v>54.0304305600518</v>
      </c>
      <c r="K27" s="1098">
        <v>4991</v>
      </c>
      <c r="L27" s="1098">
        <v>2376</v>
      </c>
      <c r="M27" s="1097">
        <v>1697</v>
      </c>
      <c r="N27" s="1097">
        <v>1249</v>
      </c>
      <c r="O27" s="1097">
        <v>274941</v>
      </c>
      <c r="P27" s="1097">
        <v>237386</v>
      </c>
      <c r="Q27" s="1099">
        <f t="shared" si="1"/>
        <v>86.34070582415863</v>
      </c>
      <c r="R27" s="1100">
        <v>134</v>
      </c>
      <c r="S27" s="1091">
        <v>554</v>
      </c>
      <c r="T27" s="1091">
        <v>10508</v>
      </c>
      <c r="U27" s="1100">
        <v>40</v>
      </c>
      <c r="V27" s="1101">
        <v>2616</v>
      </c>
    </row>
    <row r="28" spans="1:22" ht="25.5" customHeight="1">
      <c r="A28" s="1083" t="s">
        <v>546</v>
      </c>
      <c r="B28" s="1084"/>
      <c r="C28" s="1085">
        <v>4808</v>
      </c>
      <c r="D28" s="1096">
        <v>1199</v>
      </c>
      <c r="E28" s="1096">
        <v>479</v>
      </c>
      <c r="F28" s="1085">
        <v>365</v>
      </c>
      <c r="G28" s="1085">
        <v>2765</v>
      </c>
      <c r="H28" s="1086">
        <f t="shared" si="3"/>
        <v>24.937603993344425</v>
      </c>
      <c r="I28" s="1094">
        <f t="shared" si="0"/>
        <v>9.962562396006655</v>
      </c>
      <c r="J28" s="1086">
        <f t="shared" si="2"/>
        <v>65.09983361064891</v>
      </c>
      <c r="K28" s="1085">
        <v>9196</v>
      </c>
      <c r="L28" s="1085">
        <v>4430</v>
      </c>
      <c r="M28" s="1096">
        <v>2850</v>
      </c>
      <c r="N28" s="1096">
        <v>2025</v>
      </c>
      <c r="O28" s="1096">
        <v>526318</v>
      </c>
      <c r="P28" s="1096">
        <v>491235</v>
      </c>
      <c r="Q28" s="1095">
        <f t="shared" si="1"/>
        <v>93.33425799611642</v>
      </c>
      <c r="R28" s="561">
        <v>146</v>
      </c>
      <c r="S28" s="1091">
        <v>825</v>
      </c>
      <c r="T28" s="1091">
        <v>15745</v>
      </c>
      <c r="U28" s="561">
        <v>49</v>
      </c>
      <c r="V28" s="773">
        <v>6748</v>
      </c>
    </row>
    <row r="29" spans="1:22" ht="25.5" customHeight="1" thickBot="1">
      <c r="A29" s="1102" t="s">
        <v>547</v>
      </c>
      <c r="B29" s="1103"/>
      <c r="C29" s="1104">
        <v>1633</v>
      </c>
      <c r="D29" s="1105">
        <v>384</v>
      </c>
      <c r="E29" s="1105">
        <v>237</v>
      </c>
      <c r="F29" s="1106">
        <v>206</v>
      </c>
      <c r="G29" s="1106">
        <v>806</v>
      </c>
      <c r="H29" s="1107">
        <f>D29/C29*100</f>
        <v>23.515003061849356</v>
      </c>
      <c r="I29" s="1108">
        <f>E29/C29*100</f>
        <v>14.513165952235148</v>
      </c>
      <c r="J29" s="1107">
        <f>(F29+G29)/C29*100</f>
        <v>61.97183098591549</v>
      </c>
      <c r="K29" s="1106">
        <v>3439</v>
      </c>
      <c r="L29" s="1106">
        <v>1864</v>
      </c>
      <c r="M29" s="1105">
        <v>1434</v>
      </c>
      <c r="N29" s="1105">
        <v>936</v>
      </c>
      <c r="O29" s="1105">
        <v>321807</v>
      </c>
      <c r="P29" s="1105">
        <v>278485</v>
      </c>
      <c r="Q29" s="1109">
        <f>P29/O29*100</f>
        <v>86.53789383077435</v>
      </c>
      <c r="R29" s="803">
        <v>258</v>
      </c>
      <c r="S29" s="1110">
        <v>383</v>
      </c>
      <c r="T29" s="1110">
        <v>11312</v>
      </c>
      <c r="U29" s="803">
        <v>22</v>
      </c>
      <c r="V29" s="1111">
        <v>247</v>
      </c>
    </row>
    <row r="30" spans="3:17" ht="13.5" customHeight="1">
      <c r="C30" s="478"/>
      <c r="D30" s="478"/>
      <c r="E30" s="478"/>
      <c r="F30" s="478"/>
      <c r="G30" s="478"/>
      <c r="H30" s="1112"/>
      <c r="I30" s="478"/>
      <c r="J30" s="478"/>
      <c r="K30" s="478"/>
      <c r="L30" s="478"/>
      <c r="M30" s="478"/>
      <c r="N30" s="478"/>
      <c r="O30" s="478"/>
      <c r="P30" s="478"/>
      <c r="Q30" s="478"/>
    </row>
    <row r="31" spans="2:17" ht="13.5" customHeight="1"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</row>
    <row r="32" spans="2:17" ht="13.5"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</row>
  </sheetData>
  <sheetProtection/>
  <mergeCells count="33">
    <mergeCell ref="A8:B8"/>
    <mergeCell ref="A10:B10"/>
    <mergeCell ref="A12:B12"/>
    <mergeCell ref="A17:B17"/>
    <mergeCell ref="A27:B27"/>
    <mergeCell ref="A29:B29"/>
    <mergeCell ref="S5:S7"/>
    <mergeCell ref="T5:T7"/>
    <mergeCell ref="U5:U7"/>
    <mergeCell ref="V5:V7"/>
    <mergeCell ref="E6:E7"/>
    <mergeCell ref="F6:G6"/>
    <mergeCell ref="H6:H7"/>
    <mergeCell ref="I6:J6"/>
    <mergeCell ref="N6:N7"/>
    <mergeCell ref="P6:P7"/>
    <mergeCell ref="K5:K7"/>
    <mergeCell ref="L5:L7"/>
    <mergeCell ref="M5:M7"/>
    <mergeCell ref="O5:O7"/>
    <mergeCell ref="P5:Q5"/>
    <mergeCell ref="R5:R7"/>
    <mergeCell ref="Q6:Q7"/>
    <mergeCell ref="A4:B7"/>
    <mergeCell ref="C4:J4"/>
    <mergeCell ref="K4:N4"/>
    <mergeCell ref="O4:R4"/>
    <mergeCell ref="S4:T4"/>
    <mergeCell ref="U4:V4"/>
    <mergeCell ref="C5:C7"/>
    <mergeCell ref="D5:D7"/>
    <mergeCell ref="E5:G5"/>
    <mergeCell ref="H5:J5"/>
  </mergeCells>
  <printOptions/>
  <pageMargins left="0.7086614173228347" right="0.6692913385826772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&amp;P+59 -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SheetLayoutView="100" workbookViewId="0" topLeftCell="A1">
      <selection activeCell="C43" sqref="C43"/>
    </sheetView>
  </sheetViews>
  <sheetFormatPr defaultColWidth="9.00390625" defaultRowHeight="13.5"/>
  <cols>
    <col min="1" max="1" width="4.875" style="0" customWidth="1"/>
    <col min="2" max="2" width="14.125" style="0" customWidth="1"/>
    <col min="3" max="7" width="10.875" style="0" customWidth="1"/>
    <col min="8" max="8" width="13.75390625" style="0" customWidth="1"/>
    <col min="9" max="9" width="13.125" style="0" customWidth="1"/>
    <col min="10" max="16" width="10.50390625" style="0" customWidth="1"/>
  </cols>
  <sheetData>
    <row r="1" spans="1:16" ht="23.25" customHeight="1">
      <c r="A1" t="s">
        <v>51</v>
      </c>
      <c r="P1" s="61" t="s">
        <v>49</v>
      </c>
    </row>
    <row r="2" ht="4.5" customHeight="1" thickBot="1"/>
    <row r="3" spans="1:16" ht="29.25" customHeight="1">
      <c r="A3" s="152" t="s">
        <v>52</v>
      </c>
      <c r="B3" s="136"/>
      <c r="C3" s="62" t="s">
        <v>53</v>
      </c>
      <c r="D3" s="62" t="s">
        <v>54</v>
      </c>
      <c r="E3" s="64" t="s">
        <v>55</v>
      </c>
      <c r="F3" s="64" t="s">
        <v>56</v>
      </c>
      <c r="G3" s="64" t="s">
        <v>57</v>
      </c>
      <c r="H3" s="64" t="s">
        <v>58</v>
      </c>
      <c r="I3" s="64" t="s">
        <v>59</v>
      </c>
      <c r="J3" s="64" t="s">
        <v>60</v>
      </c>
      <c r="K3" s="64" t="s">
        <v>61</v>
      </c>
      <c r="L3" s="64" t="s">
        <v>62</v>
      </c>
      <c r="M3" s="64" t="s">
        <v>63</v>
      </c>
      <c r="N3" s="64" t="s">
        <v>64</v>
      </c>
      <c r="O3" s="64" t="s">
        <v>65</v>
      </c>
      <c r="P3" s="63" t="s">
        <v>66</v>
      </c>
    </row>
    <row r="4" spans="1:16" ht="18.75" customHeight="1">
      <c r="A4" s="148" t="s">
        <v>19</v>
      </c>
      <c r="B4" s="70" t="s">
        <v>67</v>
      </c>
      <c r="C4" s="71">
        <f aca="true" t="shared" si="0" ref="C4:C40">SUM(D4:P4)</f>
        <v>4041</v>
      </c>
      <c r="D4" s="71">
        <f>D7+D10+D13+D16+D19+D22+D25+D28+D31+D34+D37+D40</f>
        <v>3</v>
      </c>
      <c r="E4" s="71">
        <f aca="true" t="shared" si="1" ref="E4:P6">E7+E10+E13+E16+E19+E22+E25+E28+E31+E34+E37+E40</f>
        <v>2</v>
      </c>
      <c r="F4" s="71">
        <f t="shared" si="1"/>
        <v>229</v>
      </c>
      <c r="G4" s="71">
        <f t="shared" si="1"/>
        <v>665</v>
      </c>
      <c r="H4" s="71">
        <f t="shared" si="1"/>
        <v>712</v>
      </c>
      <c r="I4" s="71">
        <f t="shared" si="1"/>
        <v>720</v>
      </c>
      <c r="J4" s="71">
        <f t="shared" si="1"/>
        <v>541</v>
      </c>
      <c r="K4" s="71">
        <f t="shared" si="1"/>
        <v>335</v>
      </c>
      <c r="L4" s="71">
        <f t="shared" si="1"/>
        <v>354</v>
      </c>
      <c r="M4" s="71">
        <f t="shared" si="1"/>
        <v>170</v>
      </c>
      <c r="N4" s="71">
        <f t="shared" si="1"/>
        <v>248</v>
      </c>
      <c r="O4" s="71">
        <f t="shared" si="1"/>
        <v>45</v>
      </c>
      <c r="P4" s="72">
        <f t="shared" si="1"/>
        <v>17</v>
      </c>
    </row>
    <row r="5" spans="1:17" ht="18.75" customHeight="1">
      <c r="A5" s="149"/>
      <c r="B5" s="70" t="s">
        <v>38</v>
      </c>
      <c r="C5" s="71">
        <f t="shared" si="0"/>
        <v>3179</v>
      </c>
      <c r="D5" s="71">
        <f>D8+D11+D14+D17+D20+D23+D26+D29+D32+D35+D38+D41</f>
        <v>5</v>
      </c>
      <c r="E5" s="71">
        <f t="shared" si="1"/>
        <v>10</v>
      </c>
      <c r="F5" s="71">
        <f t="shared" si="1"/>
        <v>135</v>
      </c>
      <c r="G5" s="71">
        <f t="shared" si="1"/>
        <v>500</v>
      </c>
      <c r="H5" s="71">
        <f t="shared" si="1"/>
        <v>504</v>
      </c>
      <c r="I5" s="71">
        <f t="shared" si="1"/>
        <v>535</v>
      </c>
      <c r="J5" s="71">
        <f t="shared" si="1"/>
        <v>400</v>
      </c>
      <c r="K5" s="71">
        <f t="shared" si="1"/>
        <v>259</v>
      </c>
      <c r="L5" s="71">
        <f t="shared" si="1"/>
        <v>301</v>
      </c>
      <c r="M5" s="71">
        <f t="shared" si="1"/>
        <v>178</v>
      </c>
      <c r="N5" s="71">
        <f t="shared" si="1"/>
        <v>271</v>
      </c>
      <c r="O5" s="71">
        <f t="shared" si="1"/>
        <v>56</v>
      </c>
      <c r="P5" s="72">
        <f t="shared" si="1"/>
        <v>25</v>
      </c>
      <c r="Q5" s="73"/>
    </row>
    <row r="6" spans="1:16" ht="18.75" customHeight="1">
      <c r="A6" s="150"/>
      <c r="B6" s="70" t="s">
        <v>46</v>
      </c>
      <c r="C6" s="71">
        <f t="shared" si="0"/>
        <v>2521</v>
      </c>
      <c r="D6" s="71">
        <f>D9+D12+D15+D18+D21+D24+D27+D30+D33+D36+D39+D42</f>
        <v>6</v>
      </c>
      <c r="E6" s="71">
        <f t="shared" si="1"/>
        <v>20</v>
      </c>
      <c r="F6" s="71">
        <f t="shared" si="1"/>
        <v>88</v>
      </c>
      <c r="G6" s="71">
        <f t="shared" si="1"/>
        <v>351</v>
      </c>
      <c r="H6" s="71">
        <f t="shared" si="1"/>
        <v>371</v>
      </c>
      <c r="I6" s="71">
        <f t="shared" si="1"/>
        <v>379</v>
      </c>
      <c r="J6" s="71">
        <f t="shared" si="1"/>
        <v>312</v>
      </c>
      <c r="K6" s="71">
        <f t="shared" si="1"/>
        <v>210</v>
      </c>
      <c r="L6" s="71">
        <f t="shared" si="1"/>
        <v>265</v>
      </c>
      <c r="M6" s="71">
        <f t="shared" si="1"/>
        <v>145</v>
      </c>
      <c r="N6" s="71">
        <f t="shared" si="1"/>
        <v>267</v>
      </c>
      <c r="O6" s="71">
        <f t="shared" si="1"/>
        <v>65</v>
      </c>
      <c r="P6" s="72">
        <f t="shared" si="1"/>
        <v>42</v>
      </c>
    </row>
    <row r="7" spans="1:16" ht="18.75" customHeight="1">
      <c r="A7" s="148" t="s">
        <v>68</v>
      </c>
      <c r="B7" s="70" t="s">
        <v>67</v>
      </c>
      <c r="C7" s="71">
        <f t="shared" si="0"/>
        <v>321</v>
      </c>
      <c r="D7" s="71">
        <v>0</v>
      </c>
      <c r="E7" s="71">
        <v>0</v>
      </c>
      <c r="F7" s="71">
        <v>21</v>
      </c>
      <c r="G7" s="71">
        <v>58</v>
      </c>
      <c r="H7" s="71">
        <v>64</v>
      </c>
      <c r="I7" s="71">
        <v>52</v>
      </c>
      <c r="J7" s="71">
        <v>48</v>
      </c>
      <c r="K7" s="71">
        <v>21</v>
      </c>
      <c r="L7" s="71">
        <v>27</v>
      </c>
      <c r="M7" s="71">
        <v>11</v>
      </c>
      <c r="N7" s="71">
        <v>14</v>
      </c>
      <c r="O7" s="71">
        <v>4</v>
      </c>
      <c r="P7" s="72">
        <v>1</v>
      </c>
    </row>
    <row r="8" spans="1:16" ht="18.75" customHeight="1">
      <c r="A8" s="149"/>
      <c r="B8" s="70" t="s">
        <v>38</v>
      </c>
      <c r="C8" s="71">
        <f t="shared" si="0"/>
        <v>207</v>
      </c>
      <c r="D8" s="71">
        <v>0</v>
      </c>
      <c r="E8" s="71">
        <v>2</v>
      </c>
      <c r="F8" s="71">
        <v>17</v>
      </c>
      <c r="G8" s="71">
        <v>39</v>
      </c>
      <c r="H8" s="71">
        <v>32</v>
      </c>
      <c r="I8" s="71">
        <v>25</v>
      </c>
      <c r="J8" s="71">
        <v>26</v>
      </c>
      <c r="K8" s="71">
        <v>13</v>
      </c>
      <c r="L8" s="71">
        <v>15</v>
      </c>
      <c r="M8" s="71">
        <v>16</v>
      </c>
      <c r="N8" s="71">
        <v>13</v>
      </c>
      <c r="O8" s="71">
        <v>7</v>
      </c>
      <c r="P8" s="72">
        <v>2</v>
      </c>
    </row>
    <row r="9" spans="1:16" ht="18.75" customHeight="1">
      <c r="A9" s="150"/>
      <c r="B9" s="70" t="s">
        <v>46</v>
      </c>
      <c r="C9" s="71">
        <f t="shared" si="0"/>
        <v>152</v>
      </c>
      <c r="D9" s="71">
        <v>0</v>
      </c>
      <c r="E9" s="71">
        <v>1</v>
      </c>
      <c r="F9" s="71">
        <v>9</v>
      </c>
      <c r="G9" s="71">
        <v>27</v>
      </c>
      <c r="H9" s="71">
        <v>26</v>
      </c>
      <c r="I9" s="71">
        <v>18</v>
      </c>
      <c r="J9" s="71">
        <v>17</v>
      </c>
      <c r="K9" s="71">
        <v>10</v>
      </c>
      <c r="L9" s="71">
        <v>9</v>
      </c>
      <c r="M9" s="71">
        <v>10</v>
      </c>
      <c r="N9" s="71">
        <v>14</v>
      </c>
      <c r="O9" s="71">
        <v>7</v>
      </c>
      <c r="P9" s="72">
        <v>4</v>
      </c>
    </row>
    <row r="10" spans="1:16" ht="18.75" customHeight="1">
      <c r="A10" s="153" t="s">
        <v>69</v>
      </c>
      <c r="B10" s="70" t="s">
        <v>67</v>
      </c>
      <c r="C10" s="71">
        <f t="shared" si="0"/>
        <v>247</v>
      </c>
      <c r="D10" s="71">
        <v>0</v>
      </c>
      <c r="E10" s="71">
        <v>0</v>
      </c>
      <c r="F10" s="71">
        <v>16</v>
      </c>
      <c r="G10" s="71">
        <v>63</v>
      </c>
      <c r="H10" s="71">
        <v>52</v>
      </c>
      <c r="I10" s="71">
        <v>53</v>
      </c>
      <c r="J10" s="71">
        <v>25</v>
      </c>
      <c r="K10" s="71">
        <v>11</v>
      </c>
      <c r="L10" s="71">
        <v>9</v>
      </c>
      <c r="M10" s="71">
        <v>7</v>
      </c>
      <c r="N10" s="71">
        <v>10</v>
      </c>
      <c r="O10" s="71">
        <v>1</v>
      </c>
      <c r="P10" s="72">
        <v>0</v>
      </c>
    </row>
    <row r="11" spans="1:16" ht="18.75" customHeight="1">
      <c r="A11" s="154"/>
      <c r="B11" s="70" t="s">
        <v>38</v>
      </c>
      <c r="C11" s="71">
        <f t="shared" si="0"/>
        <v>208</v>
      </c>
      <c r="D11" s="71">
        <v>0</v>
      </c>
      <c r="E11" s="71">
        <v>2</v>
      </c>
      <c r="F11" s="71">
        <v>10</v>
      </c>
      <c r="G11" s="71">
        <v>51</v>
      </c>
      <c r="H11" s="71">
        <v>39</v>
      </c>
      <c r="I11" s="71">
        <v>42</v>
      </c>
      <c r="J11" s="71">
        <v>21</v>
      </c>
      <c r="K11" s="71">
        <v>8</v>
      </c>
      <c r="L11" s="71">
        <v>11</v>
      </c>
      <c r="M11" s="71">
        <v>7</v>
      </c>
      <c r="N11" s="71">
        <v>14</v>
      </c>
      <c r="O11" s="71">
        <v>3</v>
      </c>
      <c r="P11" s="72">
        <v>0</v>
      </c>
    </row>
    <row r="12" spans="1:16" ht="18.75" customHeight="1">
      <c r="A12" s="155"/>
      <c r="B12" s="70" t="s">
        <v>46</v>
      </c>
      <c r="C12" s="71">
        <f t="shared" si="0"/>
        <v>160</v>
      </c>
      <c r="D12" s="71">
        <v>0</v>
      </c>
      <c r="E12" s="71">
        <v>3</v>
      </c>
      <c r="F12" s="71">
        <v>12</v>
      </c>
      <c r="G12" s="71">
        <v>34</v>
      </c>
      <c r="H12" s="71">
        <v>28</v>
      </c>
      <c r="I12" s="71">
        <v>21</v>
      </c>
      <c r="J12" s="71">
        <v>14</v>
      </c>
      <c r="K12" s="71">
        <v>10</v>
      </c>
      <c r="L12" s="71">
        <v>8</v>
      </c>
      <c r="M12" s="71">
        <v>7</v>
      </c>
      <c r="N12" s="71">
        <v>19</v>
      </c>
      <c r="O12" s="71">
        <v>4</v>
      </c>
      <c r="P12" s="72">
        <v>0</v>
      </c>
    </row>
    <row r="13" spans="1:16" ht="18.75" customHeight="1">
      <c r="A13" s="148" t="s">
        <v>70</v>
      </c>
      <c r="B13" s="70" t="s">
        <v>67</v>
      </c>
      <c r="C13" s="71">
        <f t="shared" si="0"/>
        <v>245</v>
      </c>
      <c r="D13" s="71">
        <v>0</v>
      </c>
      <c r="E13" s="71">
        <v>0</v>
      </c>
      <c r="F13" s="71">
        <v>6</v>
      </c>
      <c r="G13" s="71">
        <v>44</v>
      </c>
      <c r="H13" s="71">
        <v>42</v>
      </c>
      <c r="I13" s="71">
        <v>47</v>
      </c>
      <c r="J13" s="71">
        <v>42</v>
      </c>
      <c r="K13" s="71">
        <v>17</v>
      </c>
      <c r="L13" s="71">
        <v>18</v>
      </c>
      <c r="M13" s="71">
        <v>8</v>
      </c>
      <c r="N13" s="71">
        <v>17</v>
      </c>
      <c r="O13" s="71">
        <v>2</v>
      </c>
      <c r="P13" s="72">
        <v>2</v>
      </c>
    </row>
    <row r="14" spans="1:16" ht="18.75" customHeight="1">
      <c r="A14" s="149"/>
      <c r="B14" s="70" t="s">
        <v>38</v>
      </c>
      <c r="C14" s="71">
        <f t="shared" si="0"/>
        <v>180</v>
      </c>
      <c r="D14" s="71">
        <v>4</v>
      </c>
      <c r="E14" s="71">
        <v>0</v>
      </c>
      <c r="F14" s="71">
        <v>4</v>
      </c>
      <c r="G14" s="71">
        <v>22</v>
      </c>
      <c r="H14" s="71">
        <v>34</v>
      </c>
      <c r="I14" s="71">
        <v>35</v>
      </c>
      <c r="J14" s="71">
        <v>19</v>
      </c>
      <c r="K14" s="71">
        <v>9</v>
      </c>
      <c r="L14" s="71">
        <v>17</v>
      </c>
      <c r="M14" s="71">
        <v>11</v>
      </c>
      <c r="N14" s="71">
        <v>20</v>
      </c>
      <c r="O14" s="71">
        <v>2</v>
      </c>
      <c r="P14" s="72">
        <v>3</v>
      </c>
    </row>
    <row r="15" spans="1:16" ht="18.75" customHeight="1">
      <c r="A15" s="150"/>
      <c r="B15" s="70" t="s">
        <v>46</v>
      </c>
      <c r="C15" s="71">
        <f t="shared" si="0"/>
        <v>142</v>
      </c>
      <c r="D15" s="71">
        <v>2</v>
      </c>
      <c r="E15" s="71">
        <v>0</v>
      </c>
      <c r="F15" s="71">
        <v>2</v>
      </c>
      <c r="G15" s="71">
        <v>18</v>
      </c>
      <c r="H15" s="71">
        <v>25</v>
      </c>
      <c r="I15" s="71">
        <v>18</v>
      </c>
      <c r="J15" s="71">
        <v>15</v>
      </c>
      <c r="K15" s="71">
        <v>14</v>
      </c>
      <c r="L15" s="71">
        <v>12</v>
      </c>
      <c r="M15" s="71">
        <v>12</v>
      </c>
      <c r="N15" s="71">
        <v>19</v>
      </c>
      <c r="O15" s="71">
        <v>3</v>
      </c>
      <c r="P15" s="72">
        <v>2</v>
      </c>
    </row>
    <row r="16" spans="1:16" ht="18.75" customHeight="1">
      <c r="A16" s="156" t="s">
        <v>71</v>
      </c>
      <c r="B16" s="70" t="s">
        <v>67</v>
      </c>
      <c r="C16" s="71">
        <f t="shared" si="0"/>
        <v>139</v>
      </c>
      <c r="D16" s="71">
        <v>0</v>
      </c>
      <c r="E16" s="71">
        <v>0</v>
      </c>
      <c r="F16" s="71">
        <v>17</v>
      </c>
      <c r="G16" s="71">
        <v>40</v>
      </c>
      <c r="H16" s="71">
        <v>21</v>
      </c>
      <c r="I16" s="71">
        <v>27</v>
      </c>
      <c r="J16" s="71">
        <v>12</v>
      </c>
      <c r="K16" s="71">
        <v>7</v>
      </c>
      <c r="L16" s="71">
        <v>8</v>
      </c>
      <c r="M16" s="71">
        <v>4</v>
      </c>
      <c r="N16" s="71">
        <v>2</v>
      </c>
      <c r="O16" s="71">
        <v>1</v>
      </c>
      <c r="P16" s="72">
        <v>0</v>
      </c>
    </row>
    <row r="17" spans="1:16" ht="18.75" customHeight="1">
      <c r="A17" s="157"/>
      <c r="B17" s="70" t="s">
        <v>38</v>
      </c>
      <c r="C17" s="71">
        <f t="shared" si="0"/>
        <v>92</v>
      </c>
      <c r="D17" s="71">
        <v>0</v>
      </c>
      <c r="E17" s="71">
        <v>3</v>
      </c>
      <c r="F17" s="71">
        <v>12</v>
      </c>
      <c r="G17" s="71">
        <v>23</v>
      </c>
      <c r="H17" s="71">
        <v>21</v>
      </c>
      <c r="I17" s="71">
        <v>14</v>
      </c>
      <c r="J17" s="71">
        <v>7</v>
      </c>
      <c r="K17" s="71">
        <v>1</v>
      </c>
      <c r="L17" s="71">
        <v>3</v>
      </c>
      <c r="M17" s="71">
        <v>5</v>
      </c>
      <c r="N17" s="71">
        <v>2</v>
      </c>
      <c r="O17" s="71">
        <v>1</v>
      </c>
      <c r="P17" s="72">
        <v>0</v>
      </c>
    </row>
    <row r="18" spans="1:16" ht="18.75" customHeight="1">
      <c r="A18" s="158"/>
      <c r="B18" s="70" t="s">
        <v>46</v>
      </c>
      <c r="C18" s="71">
        <f t="shared" si="0"/>
        <v>42</v>
      </c>
      <c r="D18" s="71">
        <v>0</v>
      </c>
      <c r="E18" s="71">
        <v>5</v>
      </c>
      <c r="F18" s="71">
        <v>2</v>
      </c>
      <c r="G18" s="71">
        <v>8</v>
      </c>
      <c r="H18" s="71">
        <v>16</v>
      </c>
      <c r="I18" s="71">
        <v>3</v>
      </c>
      <c r="J18" s="71">
        <v>1</v>
      </c>
      <c r="K18" s="71">
        <v>1</v>
      </c>
      <c r="L18" s="71">
        <v>1</v>
      </c>
      <c r="M18" s="71">
        <v>2</v>
      </c>
      <c r="N18" s="71">
        <v>2</v>
      </c>
      <c r="O18" s="71">
        <v>1</v>
      </c>
      <c r="P18" s="72">
        <v>0</v>
      </c>
    </row>
    <row r="19" spans="1:16" ht="18.75" customHeight="1">
      <c r="A19" s="148" t="s">
        <v>72</v>
      </c>
      <c r="B19" s="70" t="s">
        <v>67</v>
      </c>
      <c r="C19" s="71">
        <f t="shared" si="0"/>
        <v>44</v>
      </c>
      <c r="D19" s="71">
        <v>0</v>
      </c>
      <c r="E19" s="71">
        <v>0</v>
      </c>
      <c r="F19" s="71">
        <v>15</v>
      </c>
      <c r="G19" s="71">
        <v>22</v>
      </c>
      <c r="H19" s="71">
        <v>3</v>
      </c>
      <c r="I19" s="71">
        <v>4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2">
        <v>0</v>
      </c>
    </row>
    <row r="20" spans="1:16" ht="18.75" customHeight="1">
      <c r="A20" s="149"/>
      <c r="B20" s="70" t="s">
        <v>38</v>
      </c>
      <c r="C20" s="71">
        <f t="shared" si="0"/>
        <v>42</v>
      </c>
      <c r="D20" s="71">
        <v>0</v>
      </c>
      <c r="E20" s="71">
        <v>0</v>
      </c>
      <c r="F20" s="71">
        <v>11</v>
      </c>
      <c r="G20" s="71">
        <v>22</v>
      </c>
      <c r="H20" s="71">
        <v>7</v>
      </c>
      <c r="I20" s="71">
        <v>1</v>
      </c>
      <c r="J20" s="71">
        <v>1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2">
        <v>0</v>
      </c>
    </row>
    <row r="21" spans="1:16" ht="18.75" customHeight="1">
      <c r="A21" s="150"/>
      <c r="B21" s="70" t="s">
        <v>46</v>
      </c>
      <c r="C21" s="71">
        <f t="shared" si="0"/>
        <v>33</v>
      </c>
      <c r="D21" s="71">
        <v>0</v>
      </c>
      <c r="E21" s="71">
        <v>0</v>
      </c>
      <c r="F21" s="71">
        <v>6</v>
      </c>
      <c r="G21" s="71">
        <v>17</v>
      </c>
      <c r="H21" s="71">
        <v>8</v>
      </c>
      <c r="I21" s="71">
        <v>0</v>
      </c>
      <c r="J21" s="71">
        <v>2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2">
        <v>0</v>
      </c>
    </row>
    <row r="22" spans="1:16" ht="18.75" customHeight="1">
      <c r="A22" s="148" t="s">
        <v>73</v>
      </c>
      <c r="B22" s="70" t="s">
        <v>67</v>
      </c>
      <c r="C22" s="71">
        <f t="shared" si="0"/>
        <v>706</v>
      </c>
      <c r="D22" s="71">
        <v>1</v>
      </c>
      <c r="E22" s="71">
        <v>0</v>
      </c>
      <c r="F22" s="71">
        <v>34</v>
      </c>
      <c r="G22" s="71">
        <v>95</v>
      </c>
      <c r="H22" s="71">
        <v>143</v>
      </c>
      <c r="I22" s="71">
        <v>171</v>
      </c>
      <c r="J22" s="71">
        <v>113</v>
      </c>
      <c r="K22" s="71">
        <v>66</v>
      </c>
      <c r="L22" s="71">
        <v>33</v>
      </c>
      <c r="M22" s="71">
        <v>17</v>
      </c>
      <c r="N22" s="71">
        <v>25</v>
      </c>
      <c r="O22" s="71">
        <v>6</v>
      </c>
      <c r="P22" s="72">
        <v>2</v>
      </c>
    </row>
    <row r="23" spans="1:16" ht="18.75" customHeight="1">
      <c r="A23" s="149"/>
      <c r="B23" s="70" t="s">
        <v>38</v>
      </c>
      <c r="C23" s="71">
        <f t="shared" si="0"/>
        <v>569</v>
      </c>
      <c r="D23" s="71">
        <v>0</v>
      </c>
      <c r="E23" s="71">
        <v>1</v>
      </c>
      <c r="F23" s="71">
        <v>17</v>
      </c>
      <c r="G23" s="71">
        <v>86</v>
      </c>
      <c r="H23" s="71">
        <v>87</v>
      </c>
      <c r="I23" s="71">
        <v>136</v>
      </c>
      <c r="J23" s="71">
        <v>78</v>
      </c>
      <c r="K23" s="71">
        <v>59</v>
      </c>
      <c r="L23" s="71">
        <v>34</v>
      </c>
      <c r="M23" s="71">
        <v>24</v>
      </c>
      <c r="N23" s="71">
        <v>34</v>
      </c>
      <c r="O23" s="71">
        <v>9</v>
      </c>
      <c r="P23" s="72">
        <v>4</v>
      </c>
    </row>
    <row r="24" spans="1:16" ht="18.75" customHeight="1">
      <c r="A24" s="150"/>
      <c r="B24" s="70" t="s">
        <v>46</v>
      </c>
      <c r="C24" s="71">
        <f t="shared" si="0"/>
        <v>469</v>
      </c>
      <c r="D24" s="71">
        <v>0</v>
      </c>
      <c r="E24" s="71">
        <v>2</v>
      </c>
      <c r="F24" s="71">
        <v>13</v>
      </c>
      <c r="G24" s="71">
        <v>56</v>
      </c>
      <c r="H24" s="71">
        <v>75</v>
      </c>
      <c r="I24" s="71">
        <v>105</v>
      </c>
      <c r="J24" s="71">
        <v>66</v>
      </c>
      <c r="K24" s="71">
        <v>37</v>
      </c>
      <c r="L24" s="71">
        <v>51</v>
      </c>
      <c r="M24" s="71">
        <v>18</v>
      </c>
      <c r="N24" s="71">
        <v>29</v>
      </c>
      <c r="O24" s="71">
        <v>9</v>
      </c>
      <c r="P24" s="72">
        <v>8</v>
      </c>
    </row>
    <row r="25" spans="1:16" ht="18.75" customHeight="1">
      <c r="A25" s="148" t="s">
        <v>74</v>
      </c>
      <c r="B25" s="70" t="s">
        <v>67</v>
      </c>
      <c r="C25" s="71">
        <f t="shared" si="0"/>
        <v>423</v>
      </c>
      <c r="D25" s="71">
        <v>0</v>
      </c>
      <c r="E25" s="71">
        <v>0</v>
      </c>
      <c r="F25" s="71">
        <v>45</v>
      </c>
      <c r="G25" s="71">
        <v>109</v>
      </c>
      <c r="H25" s="71">
        <v>104</v>
      </c>
      <c r="I25" s="71">
        <v>60</v>
      </c>
      <c r="J25" s="71">
        <v>25</v>
      </c>
      <c r="K25" s="71">
        <v>22</v>
      </c>
      <c r="L25" s="71">
        <v>24</v>
      </c>
      <c r="M25" s="71">
        <v>11</v>
      </c>
      <c r="N25" s="71">
        <v>18</v>
      </c>
      <c r="O25" s="71">
        <v>3</v>
      </c>
      <c r="P25" s="72">
        <v>2</v>
      </c>
    </row>
    <row r="26" spans="1:16" ht="18.75" customHeight="1">
      <c r="A26" s="149"/>
      <c r="B26" s="70" t="s">
        <v>38</v>
      </c>
      <c r="C26" s="71">
        <f t="shared" si="0"/>
        <v>326</v>
      </c>
      <c r="D26" s="71">
        <v>0</v>
      </c>
      <c r="E26" s="71">
        <v>1</v>
      </c>
      <c r="F26" s="71">
        <v>19</v>
      </c>
      <c r="G26" s="71">
        <v>82</v>
      </c>
      <c r="H26" s="71">
        <v>70</v>
      </c>
      <c r="I26" s="71">
        <v>46</v>
      </c>
      <c r="J26" s="71">
        <v>26</v>
      </c>
      <c r="K26" s="71">
        <v>14</v>
      </c>
      <c r="L26" s="71">
        <v>24</v>
      </c>
      <c r="M26" s="71">
        <v>14</v>
      </c>
      <c r="N26" s="71">
        <v>22</v>
      </c>
      <c r="O26" s="71">
        <v>5</v>
      </c>
      <c r="P26" s="72">
        <v>3</v>
      </c>
    </row>
    <row r="27" spans="1:17" ht="18.75" customHeight="1">
      <c r="A27" s="150"/>
      <c r="B27" s="70" t="s">
        <v>46</v>
      </c>
      <c r="C27" s="71">
        <f t="shared" si="0"/>
        <v>260</v>
      </c>
      <c r="D27" s="71">
        <v>0</v>
      </c>
      <c r="E27" s="71">
        <v>0</v>
      </c>
      <c r="F27" s="71">
        <v>19</v>
      </c>
      <c r="G27" s="71">
        <v>65</v>
      </c>
      <c r="H27" s="71">
        <v>45</v>
      </c>
      <c r="I27" s="71">
        <v>29</v>
      </c>
      <c r="J27" s="71">
        <v>18</v>
      </c>
      <c r="K27" s="71">
        <v>14</v>
      </c>
      <c r="L27" s="71">
        <v>23</v>
      </c>
      <c r="M27" s="71">
        <v>12</v>
      </c>
      <c r="N27" s="71">
        <v>25</v>
      </c>
      <c r="O27" s="71">
        <v>6</v>
      </c>
      <c r="P27" s="72">
        <v>4</v>
      </c>
      <c r="Q27" s="74"/>
    </row>
    <row r="28" spans="1:16" ht="18.75" customHeight="1">
      <c r="A28" s="148" t="s">
        <v>75</v>
      </c>
      <c r="B28" s="70" t="s">
        <v>67</v>
      </c>
      <c r="C28" s="71">
        <f t="shared" si="0"/>
        <v>71</v>
      </c>
      <c r="D28" s="71">
        <v>0</v>
      </c>
      <c r="E28" s="71">
        <v>0</v>
      </c>
      <c r="F28" s="71">
        <v>3</v>
      </c>
      <c r="G28" s="71">
        <v>9</v>
      </c>
      <c r="H28" s="71">
        <v>20</v>
      </c>
      <c r="I28" s="71">
        <v>14</v>
      </c>
      <c r="J28" s="71">
        <v>11</v>
      </c>
      <c r="K28" s="71">
        <v>1</v>
      </c>
      <c r="L28" s="71">
        <v>7</v>
      </c>
      <c r="M28" s="71">
        <v>3</v>
      </c>
      <c r="N28" s="71">
        <v>1</v>
      </c>
      <c r="O28" s="71">
        <v>1</v>
      </c>
      <c r="P28" s="72">
        <v>1</v>
      </c>
    </row>
    <row r="29" spans="1:16" ht="18.75" customHeight="1">
      <c r="A29" s="149"/>
      <c r="B29" s="70" t="s">
        <v>38</v>
      </c>
      <c r="C29" s="71">
        <f t="shared" si="0"/>
        <v>53</v>
      </c>
      <c r="D29" s="71">
        <v>0</v>
      </c>
      <c r="E29" s="71">
        <v>0</v>
      </c>
      <c r="F29" s="71">
        <v>4</v>
      </c>
      <c r="G29" s="71">
        <v>6</v>
      </c>
      <c r="H29" s="71">
        <v>8</v>
      </c>
      <c r="I29" s="71">
        <v>12</v>
      </c>
      <c r="J29" s="71">
        <v>8</v>
      </c>
      <c r="K29" s="71">
        <v>3</v>
      </c>
      <c r="L29" s="71">
        <v>6</v>
      </c>
      <c r="M29" s="71">
        <v>3</v>
      </c>
      <c r="N29" s="71">
        <v>1</v>
      </c>
      <c r="O29" s="71">
        <v>1</v>
      </c>
      <c r="P29" s="72">
        <v>1</v>
      </c>
    </row>
    <row r="30" spans="1:16" ht="18.75" customHeight="1">
      <c r="A30" s="150"/>
      <c r="B30" s="70" t="s">
        <v>46</v>
      </c>
      <c r="C30" s="71">
        <f t="shared" si="0"/>
        <v>37</v>
      </c>
      <c r="D30" s="71">
        <v>0</v>
      </c>
      <c r="E30" s="71">
        <v>0</v>
      </c>
      <c r="F30" s="71">
        <v>4</v>
      </c>
      <c r="G30" s="71">
        <v>3</v>
      </c>
      <c r="H30" s="71">
        <v>4</v>
      </c>
      <c r="I30" s="71">
        <v>7</v>
      </c>
      <c r="J30" s="71">
        <v>7</v>
      </c>
      <c r="K30" s="71">
        <v>3</v>
      </c>
      <c r="L30" s="71">
        <v>3</v>
      </c>
      <c r="M30" s="71">
        <v>2</v>
      </c>
      <c r="N30" s="71">
        <v>2</v>
      </c>
      <c r="O30" s="71">
        <v>0</v>
      </c>
      <c r="P30" s="72">
        <v>2</v>
      </c>
    </row>
    <row r="31" spans="1:16" ht="18.75" customHeight="1">
      <c r="A31" s="148" t="s">
        <v>76</v>
      </c>
      <c r="B31" s="70" t="s">
        <v>67</v>
      </c>
      <c r="C31" s="71">
        <f t="shared" si="0"/>
        <v>292</v>
      </c>
      <c r="D31" s="71">
        <v>0</v>
      </c>
      <c r="E31" s="71">
        <v>0</v>
      </c>
      <c r="F31" s="71">
        <v>10</v>
      </c>
      <c r="G31" s="71">
        <v>20</v>
      </c>
      <c r="H31" s="71">
        <v>42</v>
      </c>
      <c r="I31" s="71">
        <v>46</v>
      </c>
      <c r="J31" s="71">
        <v>47</v>
      </c>
      <c r="K31" s="71">
        <v>52</v>
      </c>
      <c r="L31" s="71">
        <v>40</v>
      </c>
      <c r="M31" s="71">
        <v>19</v>
      </c>
      <c r="N31" s="71">
        <v>12</v>
      </c>
      <c r="O31" s="71">
        <v>3</v>
      </c>
      <c r="P31" s="72">
        <v>1</v>
      </c>
    </row>
    <row r="32" spans="1:16" ht="18.75" customHeight="1">
      <c r="A32" s="149"/>
      <c r="B32" s="70" t="s">
        <v>38</v>
      </c>
      <c r="C32" s="71">
        <f t="shared" si="0"/>
        <v>238</v>
      </c>
      <c r="D32" s="71">
        <v>0</v>
      </c>
      <c r="E32" s="71">
        <v>0</v>
      </c>
      <c r="F32" s="71">
        <v>8</v>
      </c>
      <c r="G32" s="71">
        <v>17</v>
      </c>
      <c r="H32" s="71">
        <v>23</v>
      </c>
      <c r="I32" s="71">
        <v>36</v>
      </c>
      <c r="J32" s="71">
        <v>45</v>
      </c>
      <c r="K32" s="71">
        <v>35</v>
      </c>
      <c r="L32" s="71">
        <v>37</v>
      </c>
      <c r="M32" s="71">
        <v>17</v>
      </c>
      <c r="N32" s="71">
        <v>16</v>
      </c>
      <c r="O32" s="71">
        <v>3</v>
      </c>
      <c r="P32" s="72">
        <v>1</v>
      </c>
    </row>
    <row r="33" spans="1:16" s="60" customFormat="1" ht="18.75" customHeight="1">
      <c r="A33" s="150"/>
      <c r="B33" s="70" t="s">
        <v>46</v>
      </c>
      <c r="C33" s="71">
        <f t="shared" si="0"/>
        <v>197</v>
      </c>
      <c r="D33" s="71">
        <v>0</v>
      </c>
      <c r="E33" s="71">
        <v>2</v>
      </c>
      <c r="F33" s="71">
        <v>4</v>
      </c>
      <c r="G33" s="71">
        <v>12</v>
      </c>
      <c r="H33" s="71">
        <v>17</v>
      </c>
      <c r="I33" s="71">
        <v>25</v>
      </c>
      <c r="J33" s="71">
        <v>36</v>
      </c>
      <c r="K33" s="71">
        <v>26</v>
      </c>
      <c r="L33" s="71">
        <v>32</v>
      </c>
      <c r="M33" s="71">
        <v>19</v>
      </c>
      <c r="N33" s="71">
        <v>19</v>
      </c>
      <c r="O33" s="71">
        <v>3</v>
      </c>
      <c r="P33" s="72">
        <v>2</v>
      </c>
    </row>
    <row r="34" spans="1:16" ht="18.75" customHeight="1">
      <c r="A34" s="148" t="s">
        <v>77</v>
      </c>
      <c r="B34" s="70" t="s">
        <v>67</v>
      </c>
      <c r="C34" s="71">
        <f t="shared" si="0"/>
        <v>648</v>
      </c>
      <c r="D34" s="71">
        <v>1</v>
      </c>
      <c r="E34" s="71">
        <v>0</v>
      </c>
      <c r="F34" s="71">
        <v>23</v>
      </c>
      <c r="G34" s="71">
        <v>61</v>
      </c>
      <c r="H34" s="71">
        <v>82</v>
      </c>
      <c r="I34" s="71">
        <v>112</v>
      </c>
      <c r="J34" s="71">
        <v>113</v>
      </c>
      <c r="K34" s="71">
        <v>76</v>
      </c>
      <c r="L34" s="71">
        <v>82</v>
      </c>
      <c r="M34" s="71">
        <v>29</v>
      </c>
      <c r="N34" s="71">
        <v>55</v>
      </c>
      <c r="O34" s="71">
        <v>11</v>
      </c>
      <c r="P34" s="72">
        <v>3</v>
      </c>
    </row>
    <row r="35" spans="1:16" ht="18.75" customHeight="1">
      <c r="A35" s="149"/>
      <c r="B35" s="70" t="s">
        <v>38</v>
      </c>
      <c r="C35" s="71">
        <f t="shared" si="0"/>
        <v>563</v>
      </c>
      <c r="D35" s="71">
        <v>1</v>
      </c>
      <c r="E35" s="71">
        <v>0</v>
      </c>
      <c r="F35" s="71">
        <v>16</v>
      </c>
      <c r="G35" s="71">
        <v>45</v>
      </c>
      <c r="H35" s="71">
        <v>81</v>
      </c>
      <c r="I35" s="71">
        <v>92</v>
      </c>
      <c r="J35" s="71">
        <v>93</v>
      </c>
      <c r="K35" s="71">
        <v>63</v>
      </c>
      <c r="L35" s="71">
        <v>71</v>
      </c>
      <c r="M35" s="71">
        <v>28</v>
      </c>
      <c r="N35" s="71">
        <v>55</v>
      </c>
      <c r="O35" s="71">
        <v>14</v>
      </c>
      <c r="P35" s="72">
        <v>4</v>
      </c>
    </row>
    <row r="36" spans="1:16" ht="18.75" customHeight="1">
      <c r="A36" s="150"/>
      <c r="B36" s="70" t="s">
        <v>46</v>
      </c>
      <c r="C36" s="71">
        <f t="shared" si="0"/>
        <v>466</v>
      </c>
      <c r="D36" s="71">
        <v>1</v>
      </c>
      <c r="E36" s="71">
        <v>1</v>
      </c>
      <c r="F36" s="71">
        <v>4</v>
      </c>
      <c r="G36" s="71">
        <v>28</v>
      </c>
      <c r="H36" s="71">
        <v>56</v>
      </c>
      <c r="I36" s="71">
        <v>76</v>
      </c>
      <c r="J36" s="71">
        <v>78</v>
      </c>
      <c r="K36" s="71">
        <v>44</v>
      </c>
      <c r="L36" s="71">
        <v>65</v>
      </c>
      <c r="M36" s="71">
        <v>27</v>
      </c>
      <c r="N36" s="71">
        <v>59</v>
      </c>
      <c r="O36" s="71">
        <v>17</v>
      </c>
      <c r="P36" s="72">
        <v>10</v>
      </c>
    </row>
    <row r="37" spans="1:16" ht="18.75" customHeight="1">
      <c r="A37" s="148" t="s">
        <v>78</v>
      </c>
      <c r="B37" s="70" t="s">
        <v>67</v>
      </c>
      <c r="C37" s="71">
        <f t="shared" si="0"/>
        <v>338</v>
      </c>
      <c r="D37" s="71">
        <v>0</v>
      </c>
      <c r="E37" s="71">
        <v>2</v>
      </c>
      <c r="F37" s="71">
        <v>18</v>
      </c>
      <c r="G37" s="71">
        <v>51</v>
      </c>
      <c r="H37" s="71">
        <v>48</v>
      </c>
      <c r="I37" s="71">
        <v>36</v>
      </c>
      <c r="J37" s="71">
        <v>25</v>
      </c>
      <c r="K37" s="71">
        <v>24</v>
      </c>
      <c r="L37" s="71">
        <v>53</v>
      </c>
      <c r="M37" s="71">
        <v>29</v>
      </c>
      <c r="N37" s="71">
        <v>41</v>
      </c>
      <c r="O37" s="71">
        <v>9</v>
      </c>
      <c r="P37" s="72">
        <v>2</v>
      </c>
    </row>
    <row r="38" spans="1:16" ht="18.75" customHeight="1">
      <c r="A38" s="149"/>
      <c r="B38" s="70" t="s">
        <v>38</v>
      </c>
      <c r="C38" s="71">
        <f t="shared" si="0"/>
        <v>286</v>
      </c>
      <c r="D38" s="71">
        <v>0</v>
      </c>
      <c r="E38" s="71">
        <v>0</v>
      </c>
      <c r="F38" s="71">
        <v>9</v>
      </c>
      <c r="G38" s="71">
        <v>45</v>
      </c>
      <c r="H38" s="71">
        <v>41</v>
      </c>
      <c r="I38" s="71">
        <v>35</v>
      </c>
      <c r="J38" s="71">
        <v>20</v>
      </c>
      <c r="K38" s="71">
        <v>19</v>
      </c>
      <c r="L38" s="71">
        <v>37</v>
      </c>
      <c r="M38" s="71">
        <v>29</v>
      </c>
      <c r="N38" s="71">
        <v>42</v>
      </c>
      <c r="O38" s="71">
        <v>6</v>
      </c>
      <c r="P38" s="72">
        <v>3</v>
      </c>
    </row>
    <row r="39" spans="1:16" ht="18.75" customHeight="1">
      <c r="A39" s="150"/>
      <c r="B39" s="70" t="s">
        <v>46</v>
      </c>
      <c r="C39" s="71">
        <f t="shared" si="0"/>
        <v>247</v>
      </c>
      <c r="D39" s="71">
        <v>0</v>
      </c>
      <c r="E39" s="71">
        <v>2</v>
      </c>
      <c r="F39" s="71">
        <v>7</v>
      </c>
      <c r="G39" s="71">
        <v>39</v>
      </c>
      <c r="H39" s="71">
        <v>29</v>
      </c>
      <c r="I39" s="71">
        <v>32</v>
      </c>
      <c r="J39" s="71">
        <v>21</v>
      </c>
      <c r="K39" s="71">
        <v>16</v>
      </c>
      <c r="L39" s="71">
        <v>33</v>
      </c>
      <c r="M39" s="71">
        <v>22</v>
      </c>
      <c r="N39" s="71">
        <v>36</v>
      </c>
      <c r="O39" s="71">
        <v>6</v>
      </c>
      <c r="P39" s="72">
        <v>4</v>
      </c>
    </row>
    <row r="40" spans="1:16" ht="18.75" customHeight="1">
      <c r="A40" s="148" t="s">
        <v>79</v>
      </c>
      <c r="B40" s="70" t="s">
        <v>67</v>
      </c>
      <c r="C40" s="71">
        <f t="shared" si="0"/>
        <v>567</v>
      </c>
      <c r="D40" s="71">
        <v>1</v>
      </c>
      <c r="E40" s="71">
        <v>0</v>
      </c>
      <c r="F40" s="71">
        <v>21</v>
      </c>
      <c r="G40" s="71">
        <v>93</v>
      </c>
      <c r="H40" s="71">
        <v>91</v>
      </c>
      <c r="I40" s="71">
        <v>98</v>
      </c>
      <c r="J40" s="71">
        <v>80</v>
      </c>
      <c r="K40" s="71">
        <v>38</v>
      </c>
      <c r="L40" s="71">
        <v>53</v>
      </c>
      <c r="M40" s="71">
        <v>32</v>
      </c>
      <c r="N40" s="71">
        <v>53</v>
      </c>
      <c r="O40" s="71">
        <v>4</v>
      </c>
      <c r="P40" s="72">
        <v>3</v>
      </c>
    </row>
    <row r="41" spans="1:16" ht="18.75" customHeight="1">
      <c r="A41" s="149"/>
      <c r="B41" s="70" t="s">
        <v>38</v>
      </c>
      <c r="C41" s="71">
        <v>415</v>
      </c>
      <c r="D41" s="71">
        <v>0</v>
      </c>
      <c r="E41" s="71">
        <v>1</v>
      </c>
      <c r="F41" s="71">
        <v>8</v>
      </c>
      <c r="G41" s="71">
        <v>62</v>
      </c>
      <c r="H41" s="71">
        <v>61</v>
      </c>
      <c r="I41" s="71">
        <v>61</v>
      </c>
      <c r="J41" s="71">
        <v>56</v>
      </c>
      <c r="K41" s="71">
        <v>35</v>
      </c>
      <c r="L41" s="71">
        <v>46</v>
      </c>
      <c r="M41" s="71">
        <v>24</v>
      </c>
      <c r="N41" s="71">
        <v>52</v>
      </c>
      <c r="O41" s="71">
        <v>5</v>
      </c>
      <c r="P41" s="72">
        <v>4</v>
      </c>
    </row>
    <row r="42" spans="1:16" ht="18.75" customHeight="1" thickBot="1">
      <c r="A42" s="151"/>
      <c r="B42" s="75" t="s">
        <v>46</v>
      </c>
      <c r="C42" s="76">
        <f>SUM(D42:P42)</f>
        <v>316</v>
      </c>
      <c r="D42" s="76">
        <v>3</v>
      </c>
      <c r="E42" s="76">
        <v>4</v>
      </c>
      <c r="F42" s="76">
        <v>6</v>
      </c>
      <c r="G42" s="76">
        <v>44</v>
      </c>
      <c r="H42" s="76">
        <v>42</v>
      </c>
      <c r="I42" s="76">
        <v>45</v>
      </c>
      <c r="J42" s="76">
        <v>37</v>
      </c>
      <c r="K42" s="76">
        <v>35</v>
      </c>
      <c r="L42" s="76">
        <v>28</v>
      </c>
      <c r="M42" s="76">
        <v>14</v>
      </c>
      <c r="N42" s="76">
        <v>43</v>
      </c>
      <c r="O42" s="76">
        <v>9</v>
      </c>
      <c r="P42" s="77">
        <v>6</v>
      </c>
    </row>
    <row r="43" spans="1:16" ht="18.75" customHeight="1">
      <c r="A43" s="78"/>
      <c r="B43" s="79"/>
      <c r="C43" s="80"/>
      <c r="D43" s="80"/>
      <c r="E43" s="81"/>
      <c r="F43" s="80"/>
      <c r="G43" s="80"/>
      <c r="H43" s="82"/>
      <c r="I43" s="82"/>
      <c r="J43" s="80"/>
      <c r="K43" s="80"/>
      <c r="L43" s="80"/>
      <c r="M43" s="80"/>
      <c r="N43" s="80"/>
      <c r="O43" s="80"/>
      <c r="P43" s="80"/>
    </row>
    <row r="44" spans="1:16" ht="18.75" customHeight="1">
      <c r="A44" s="78"/>
      <c r="B44" s="79"/>
      <c r="C44" s="80"/>
      <c r="D44" s="80"/>
      <c r="E44" s="81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3"/>
    </row>
    <row r="45" ht="13.5">
      <c r="B45" s="84"/>
    </row>
    <row r="46" spans="4:15" ht="13.5">
      <c r="D46" s="85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</sheetData>
  <sheetProtection/>
  <mergeCells count="14">
    <mergeCell ref="A3:B3"/>
    <mergeCell ref="A4:A6"/>
    <mergeCell ref="A7:A9"/>
    <mergeCell ref="A10:A12"/>
    <mergeCell ref="A13:A15"/>
    <mergeCell ref="A16:A18"/>
    <mergeCell ref="A37:A39"/>
    <mergeCell ref="A40:A42"/>
    <mergeCell ref="A19:A21"/>
    <mergeCell ref="A22:A24"/>
    <mergeCell ref="A25:A27"/>
    <mergeCell ref="A28:A30"/>
    <mergeCell ref="A31:A33"/>
    <mergeCell ref="A34:A3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&amp;P+35 -</oddFooter>
  </headerFooter>
  <colBreaks count="1" manualBreakCount="1">
    <brk id="8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O56"/>
  <sheetViews>
    <sheetView zoomScaleSheetLayoutView="90" workbookViewId="0" topLeftCell="A1">
      <selection activeCell="AN21" sqref="AN21"/>
    </sheetView>
  </sheetViews>
  <sheetFormatPr defaultColWidth="9.00390625" defaultRowHeight="13.5"/>
  <cols>
    <col min="1" max="5" width="1.625" style="0" customWidth="1"/>
    <col min="6" max="6" width="3.00390625" style="0" customWidth="1"/>
    <col min="7" max="50" width="1.625" style="0" customWidth="1"/>
    <col min="51" max="51" width="2.75390625" style="0" customWidth="1"/>
    <col min="52" max="127" width="1.625" style="0" customWidth="1"/>
  </cols>
  <sheetData>
    <row r="1" spans="1:51" ht="13.5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AT1" s="159"/>
      <c r="AU1" s="159"/>
      <c r="AV1" s="160" t="s">
        <v>81</v>
      </c>
      <c r="AW1" s="160"/>
      <c r="AX1" s="160"/>
      <c r="AY1" s="160"/>
    </row>
    <row r="2" spans="46:51" ht="12.75" customHeight="1" thickBot="1">
      <c r="AT2" s="161"/>
      <c r="AU2" s="161"/>
      <c r="AV2" s="162"/>
      <c r="AW2" s="162"/>
      <c r="AX2" s="162"/>
      <c r="AY2" s="162"/>
    </row>
    <row r="3" spans="1:51" ht="13.5" customHeight="1">
      <c r="A3" s="163" t="s">
        <v>34</v>
      </c>
      <c r="B3" s="164"/>
      <c r="C3" s="164"/>
      <c r="D3" s="164"/>
      <c r="E3" s="164"/>
      <c r="F3" s="164"/>
      <c r="G3" s="164"/>
      <c r="H3" s="102" t="s">
        <v>19</v>
      </c>
      <c r="I3" s="103"/>
      <c r="J3" s="103"/>
      <c r="K3" s="103"/>
      <c r="L3" s="103"/>
      <c r="M3" s="103"/>
      <c r="N3" s="103"/>
      <c r="O3" s="103"/>
      <c r="P3" s="165"/>
      <c r="Q3" s="102" t="s">
        <v>82</v>
      </c>
      <c r="R3" s="103"/>
      <c r="S3" s="103"/>
      <c r="T3" s="103"/>
      <c r="U3" s="103"/>
      <c r="V3" s="103"/>
      <c r="W3" s="103"/>
      <c r="X3" s="166"/>
      <c r="Y3" s="166"/>
      <c r="Z3" s="166"/>
      <c r="AA3" s="166"/>
      <c r="AB3" s="166"/>
      <c r="AC3" s="166"/>
      <c r="AD3" s="129"/>
      <c r="AE3" s="102" t="s">
        <v>83</v>
      </c>
      <c r="AF3" s="103"/>
      <c r="AG3" s="103"/>
      <c r="AH3" s="103"/>
      <c r="AI3" s="103"/>
      <c r="AJ3" s="103"/>
      <c r="AK3" s="103"/>
      <c r="AL3" s="166"/>
      <c r="AM3" s="166"/>
      <c r="AN3" s="166"/>
      <c r="AO3" s="166"/>
      <c r="AP3" s="166"/>
      <c r="AQ3" s="166"/>
      <c r="AR3" s="129"/>
      <c r="AS3" s="102" t="s">
        <v>84</v>
      </c>
      <c r="AT3" s="103"/>
      <c r="AU3" s="103"/>
      <c r="AV3" s="103"/>
      <c r="AW3" s="103"/>
      <c r="AX3" s="103"/>
      <c r="AY3" s="167"/>
    </row>
    <row r="4" spans="1:51" ht="9.75" customHeight="1">
      <c r="A4" s="168"/>
      <c r="B4" s="169"/>
      <c r="C4" s="169"/>
      <c r="D4" s="169"/>
      <c r="E4" s="169"/>
      <c r="F4" s="169"/>
      <c r="G4" s="169"/>
      <c r="H4" s="170"/>
      <c r="I4" s="171"/>
      <c r="J4" s="171"/>
      <c r="K4" s="171"/>
      <c r="L4" s="171"/>
      <c r="M4" s="171"/>
      <c r="N4" s="171"/>
      <c r="O4" s="171"/>
      <c r="P4" s="172"/>
      <c r="Q4" s="170"/>
      <c r="R4" s="171"/>
      <c r="S4" s="171"/>
      <c r="T4" s="171"/>
      <c r="U4" s="171"/>
      <c r="V4" s="171"/>
      <c r="W4" s="171"/>
      <c r="X4" s="173" t="s">
        <v>85</v>
      </c>
      <c r="Y4" s="174"/>
      <c r="Z4" s="174"/>
      <c r="AA4" s="174"/>
      <c r="AB4" s="174"/>
      <c r="AC4" s="174"/>
      <c r="AD4" s="175"/>
      <c r="AE4" s="170"/>
      <c r="AF4" s="171"/>
      <c r="AG4" s="171"/>
      <c r="AH4" s="171"/>
      <c r="AI4" s="171"/>
      <c r="AJ4" s="171"/>
      <c r="AK4" s="171"/>
      <c r="AL4" s="173" t="s">
        <v>85</v>
      </c>
      <c r="AM4" s="174"/>
      <c r="AN4" s="174"/>
      <c r="AO4" s="174"/>
      <c r="AP4" s="174"/>
      <c r="AQ4" s="174"/>
      <c r="AR4" s="175"/>
      <c r="AS4" s="170"/>
      <c r="AT4" s="171"/>
      <c r="AU4" s="171"/>
      <c r="AV4" s="171"/>
      <c r="AW4" s="171"/>
      <c r="AX4" s="171"/>
      <c r="AY4" s="176"/>
    </row>
    <row r="5" spans="1:51" ht="27.75" customHeight="1">
      <c r="A5" s="168"/>
      <c r="B5" s="169"/>
      <c r="C5" s="169"/>
      <c r="D5" s="169"/>
      <c r="E5" s="169"/>
      <c r="F5" s="169"/>
      <c r="G5" s="169"/>
      <c r="H5" s="104"/>
      <c r="I5" s="105"/>
      <c r="J5" s="105"/>
      <c r="K5" s="105"/>
      <c r="L5" s="105"/>
      <c r="M5" s="105"/>
      <c r="N5" s="105"/>
      <c r="O5" s="105"/>
      <c r="P5" s="177"/>
      <c r="Q5" s="104"/>
      <c r="R5" s="105"/>
      <c r="S5" s="105"/>
      <c r="T5" s="105"/>
      <c r="U5" s="105"/>
      <c r="V5" s="105"/>
      <c r="W5" s="105"/>
      <c r="X5" s="178"/>
      <c r="Y5" s="179"/>
      <c r="Z5" s="179"/>
      <c r="AA5" s="179"/>
      <c r="AB5" s="179"/>
      <c r="AC5" s="179"/>
      <c r="AD5" s="180"/>
      <c r="AE5" s="104"/>
      <c r="AF5" s="105"/>
      <c r="AG5" s="105"/>
      <c r="AH5" s="105"/>
      <c r="AI5" s="105"/>
      <c r="AJ5" s="105"/>
      <c r="AK5" s="105"/>
      <c r="AL5" s="178"/>
      <c r="AM5" s="179"/>
      <c r="AN5" s="179"/>
      <c r="AO5" s="179"/>
      <c r="AP5" s="179"/>
      <c r="AQ5" s="179"/>
      <c r="AR5" s="180"/>
      <c r="AS5" s="104"/>
      <c r="AT5" s="105"/>
      <c r="AU5" s="105"/>
      <c r="AV5" s="105"/>
      <c r="AW5" s="105"/>
      <c r="AX5" s="105"/>
      <c r="AY5" s="181"/>
    </row>
    <row r="6" spans="1:51" ht="15.75" customHeight="1">
      <c r="A6" s="168" t="s">
        <v>19</v>
      </c>
      <c r="B6" s="169"/>
      <c r="C6" s="169"/>
      <c r="D6" s="169"/>
      <c r="E6" s="169"/>
      <c r="F6" s="169"/>
      <c r="G6" s="169"/>
      <c r="H6" s="182">
        <f>SUM(H7:N18)</f>
        <v>2521</v>
      </c>
      <c r="I6" s="183"/>
      <c r="J6" s="183"/>
      <c r="K6" s="183"/>
      <c r="L6" s="183"/>
      <c r="M6" s="183"/>
      <c r="N6" s="183"/>
      <c r="O6" s="183"/>
      <c r="P6" s="184"/>
      <c r="Q6" s="185">
        <f>SUM(Q7:W18)</f>
        <v>514</v>
      </c>
      <c r="R6" s="186"/>
      <c r="S6" s="186"/>
      <c r="T6" s="186"/>
      <c r="U6" s="186"/>
      <c r="V6" s="186"/>
      <c r="W6" s="187"/>
      <c r="X6" s="185">
        <f>SUM(X7:AD18)</f>
        <v>373</v>
      </c>
      <c r="Y6" s="186"/>
      <c r="Z6" s="186"/>
      <c r="AA6" s="186"/>
      <c r="AB6" s="186"/>
      <c r="AC6" s="186"/>
      <c r="AD6" s="187"/>
      <c r="AE6" s="185">
        <f>SUM(AE7:AK18)</f>
        <v>863</v>
      </c>
      <c r="AF6" s="186"/>
      <c r="AG6" s="186"/>
      <c r="AH6" s="186"/>
      <c r="AI6" s="186"/>
      <c r="AJ6" s="186"/>
      <c r="AK6" s="187"/>
      <c r="AL6" s="185">
        <f>SUM(AL7:AR18)</f>
        <v>298</v>
      </c>
      <c r="AM6" s="186"/>
      <c r="AN6" s="186"/>
      <c r="AO6" s="186"/>
      <c r="AP6" s="186"/>
      <c r="AQ6" s="186"/>
      <c r="AR6" s="187"/>
      <c r="AS6" s="185">
        <f>SUM(AS7:AY18)</f>
        <v>1144</v>
      </c>
      <c r="AT6" s="186"/>
      <c r="AU6" s="186"/>
      <c r="AV6" s="186"/>
      <c r="AW6" s="186"/>
      <c r="AX6" s="186"/>
      <c r="AY6" s="188"/>
    </row>
    <row r="7" spans="1:51" ht="15.75" customHeight="1">
      <c r="A7" s="168" t="s">
        <v>86</v>
      </c>
      <c r="B7" s="169"/>
      <c r="C7" s="169"/>
      <c r="D7" s="169"/>
      <c r="E7" s="169"/>
      <c r="F7" s="169"/>
      <c r="G7" s="169"/>
      <c r="H7" s="182">
        <v>152</v>
      </c>
      <c r="I7" s="183"/>
      <c r="J7" s="183"/>
      <c r="K7" s="183"/>
      <c r="L7" s="183"/>
      <c r="M7" s="183"/>
      <c r="N7" s="183"/>
      <c r="O7" s="183"/>
      <c r="P7" s="184"/>
      <c r="Q7" s="185">
        <v>40</v>
      </c>
      <c r="R7" s="186"/>
      <c r="S7" s="186"/>
      <c r="T7" s="186"/>
      <c r="U7" s="186"/>
      <c r="V7" s="186"/>
      <c r="W7" s="187"/>
      <c r="X7" s="185">
        <v>32</v>
      </c>
      <c r="Y7" s="186"/>
      <c r="Z7" s="186"/>
      <c r="AA7" s="186"/>
      <c r="AB7" s="186"/>
      <c r="AC7" s="186"/>
      <c r="AD7" s="187"/>
      <c r="AE7" s="185">
        <v>45</v>
      </c>
      <c r="AF7" s="186"/>
      <c r="AG7" s="186"/>
      <c r="AH7" s="186"/>
      <c r="AI7" s="186"/>
      <c r="AJ7" s="186"/>
      <c r="AK7" s="187"/>
      <c r="AL7" s="185">
        <v>23</v>
      </c>
      <c r="AM7" s="186"/>
      <c r="AN7" s="186"/>
      <c r="AO7" s="186"/>
      <c r="AP7" s="186"/>
      <c r="AQ7" s="186"/>
      <c r="AR7" s="187"/>
      <c r="AS7" s="185">
        <v>67</v>
      </c>
      <c r="AT7" s="186"/>
      <c r="AU7" s="186"/>
      <c r="AV7" s="186"/>
      <c r="AW7" s="186"/>
      <c r="AX7" s="186"/>
      <c r="AY7" s="188"/>
    </row>
    <row r="8" spans="1:51" ht="15.75" customHeight="1">
      <c r="A8" s="168" t="s">
        <v>87</v>
      </c>
      <c r="B8" s="169"/>
      <c r="C8" s="169"/>
      <c r="D8" s="169"/>
      <c r="E8" s="169"/>
      <c r="F8" s="169"/>
      <c r="G8" s="169"/>
      <c r="H8" s="182">
        <v>160</v>
      </c>
      <c r="I8" s="183"/>
      <c r="J8" s="183"/>
      <c r="K8" s="183"/>
      <c r="L8" s="183"/>
      <c r="M8" s="183"/>
      <c r="N8" s="183"/>
      <c r="O8" s="183"/>
      <c r="P8" s="184"/>
      <c r="Q8" s="185">
        <v>16</v>
      </c>
      <c r="R8" s="186"/>
      <c r="S8" s="186"/>
      <c r="T8" s="186"/>
      <c r="U8" s="186"/>
      <c r="V8" s="186"/>
      <c r="W8" s="187"/>
      <c r="X8" s="185">
        <v>10</v>
      </c>
      <c r="Y8" s="186"/>
      <c r="Z8" s="186"/>
      <c r="AA8" s="186"/>
      <c r="AB8" s="186"/>
      <c r="AC8" s="186"/>
      <c r="AD8" s="187"/>
      <c r="AE8" s="185">
        <v>56</v>
      </c>
      <c r="AF8" s="186"/>
      <c r="AG8" s="186"/>
      <c r="AH8" s="186"/>
      <c r="AI8" s="186"/>
      <c r="AJ8" s="186"/>
      <c r="AK8" s="187"/>
      <c r="AL8" s="185">
        <v>25</v>
      </c>
      <c r="AM8" s="186"/>
      <c r="AN8" s="186"/>
      <c r="AO8" s="186"/>
      <c r="AP8" s="186"/>
      <c r="AQ8" s="186"/>
      <c r="AR8" s="187"/>
      <c r="AS8" s="185">
        <v>88</v>
      </c>
      <c r="AT8" s="186"/>
      <c r="AU8" s="186"/>
      <c r="AV8" s="186"/>
      <c r="AW8" s="186"/>
      <c r="AX8" s="186"/>
      <c r="AY8" s="188"/>
    </row>
    <row r="9" spans="1:51" ht="15.75" customHeight="1">
      <c r="A9" s="168" t="s">
        <v>88</v>
      </c>
      <c r="B9" s="169"/>
      <c r="C9" s="169"/>
      <c r="D9" s="169"/>
      <c r="E9" s="169"/>
      <c r="F9" s="169"/>
      <c r="G9" s="169"/>
      <c r="H9" s="182">
        <v>142</v>
      </c>
      <c r="I9" s="183"/>
      <c r="J9" s="183"/>
      <c r="K9" s="183"/>
      <c r="L9" s="183"/>
      <c r="M9" s="183"/>
      <c r="N9" s="183"/>
      <c r="O9" s="183"/>
      <c r="P9" s="184"/>
      <c r="Q9" s="185">
        <v>27</v>
      </c>
      <c r="R9" s="186"/>
      <c r="S9" s="186"/>
      <c r="T9" s="186"/>
      <c r="U9" s="186"/>
      <c r="V9" s="186"/>
      <c r="W9" s="187"/>
      <c r="X9" s="185">
        <v>18</v>
      </c>
      <c r="Y9" s="186"/>
      <c r="Z9" s="186"/>
      <c r="AA9" s="186"/>
      <c r="AB9" s="186"/>
      <c r="AC9" s="186"/>
      <c r="AD9" s="187"/>
      <c r="AE9" s="185">
        <v>55</v>
      </c>
      <c r="AF9" s="186"/>
      <c r="AG9" s="186"/>
      <c r="AH9" s="186"/>
      <c r="AI9" s="186"/>
      <c r="AJ9" s="186"/>
      <c r="AK9" s="187"/>
      <c r="AL9" s="185">
        <v>20</v>
      </c>
      <c r="AM9" s="186"/>
      <c r="AN9" s="186"/>
      <c r="AO9" s="186"/>
      <c r="AP9" s="186"/>
      <c r="AQ9" s="186"/>
      <c r="AR9" s="187"/>
      <c r="AS9" s="185">
        <v>60</v>
      </c>
      <c r="AT9" s="186"/>
      <c r="AU9" s="186"/>
      <c r="AV9" s="186"/>
      <c r="AW9" s="186"/>
      <c r="AX9" s="186"/>
      <c r="AY9" s="188"/>
    </row>
    <row r="10" spans="1:51" ht="15.75" customHeight="1">
      <c r="A10" s="168" t="s">
        <v>89</v>
      </c>
      <c r="B10" s="169"/>
      <c r="C10" s="169"/>
      <c r="D10" s="169"/>
      <c r="E10" s="169"/>
      <c r="F10" s="169"/>
      <c r="G10" s="169"/>
      <c r="H10" s="182">
        <v>42</v>
      </c>
      <c r="I10" s="183"/>
      <c r="J10" s="183"/>
      <c r="K10" s="183"/>
      <c r="L10" s="183"/>
      <c r="M10" s="183"/>
      <c r="N10" s="183"/>
      <c r="O10" s="183"/>
      <c r="P10" s="184"/>
      <c r="Q10" s="185">
        <v>7</v>
      </c>
      <c r="R10" s="186"/>
      <c r="S10" s="186"/>
      <c r="T10" s="186"/>
      <c r="U10" s="186"/>
      <c r="V10" s="186"/>
      <c r="W10" s="187"/>
      <c r="X10" s="185">
        <v>5</v>
      </c>
      <c r="Y10" s="186"/>
      <c r="Z10" s="186"/>
      <c r="AA10" s="186"/>
      <c r="AB10" s="186"/>
      <c r="AC10" s="186"/>
      <c r="AD10" s="187"/>
      <c r="AE10" s="185">
        <v>18</v>
      </c>
      <c r="AF10" s="186"/>
      <c r="AG10" s="186"/>
      <c r="AH10" s="186"/>
      <c r="AI10" s="186"/>
      <c r="AJ10" s="186"/>
      <c r="AK10" s="187"/>
      <c r="AL10" s="185">
        <v>5</v>
      </c>
      <c r="AM10" s="186"/>
      <c r="AN10" s="186"/>
      <c r="AO10" s="186"/>
      <c r="AP10" s="186"/>
      <c r="AQ10" s="186"/>
      <c r="AR10" s="187"/>
      <c r="AS10" s="185">
        <v>17</v>
      </c>
      <c r="AT10" s="186"/>
      <c r="AU10" s="186"/>
      <c r="AV10" s="186"/>
      <c r="AW10" s="186"/>
      <c r="AX10" s="186"/>
      <c r="AY10" s="188"/>
    </row>
    <row r="11" spans="1:51" ht="15.75" customHeight="1">
      <c r="A11" s="168" t="s">
        <v>90</v>
      </c>
      <c r="B11" s="169"/>
      <c r="C11" s="169"/>
      <c r="D11" s="169"/>
      <c r="E11" s="169"/>
      <c r="F11" s="169"/>
      <c r="G11" s="169"/>
      <c r="H11" s="182">
        <v>33</v>
      </c>
      <c r="I11" s="183"/>
      <c r="J11" s="183"/>
      <c r="K11" s="183"/>
      <c r="L11" s="183"/>
      <c r="M11" s="183"/>
      <c r="N11" s="183"/>
      <c r="O11" s="183"/>
      <c r="P11" s="184"/>
      <c r="Q11" s="185">
        <v>2</v>
      </c>
      <c r="R11" s="186"/>
      <c r="S11" s="186"/>
      <c r="T11" s="186"/>
      <c r="U11" s="186"/>
      <c r="V11" s="186"/>
      <c r="W11" s="187"/>
      <c r="X11" s="185">
        <v>2</v>
      </c>
      <c r="Y11" s="186"/>
      <c r="Z11" s="186"/>
      <c r="AA11" s="186"/>
      <c r="AB11" s="186"/>
      <c r="AC11" s="186"/>
      <c r="AD11" s="187"/>
      <c r="AE11" s="185">
        <v>10</v>
      </c>
      <c r="AF11" s="186"/>
      <c r="AG11" s="186"/>
      <c r="AH11" s="186"/>
      <c r="AI11" s="186"/>
      <c r="AJ11" s="186"/>
      <c r="AK11" s="187"/>
      <c r="AL11" s="185">
        <v>3</v>
      </c>
      <c r="AM11" s="186"/>
      <c r="AN11" s="186"/>
      <c r="AO11" s="186"/>
      <c r="AP11" s="186"/>
      <c r="AQ11" s="186"/>
      <c r="AR11" s="187"/>
      <c r="AS11" s="185">
        <v>21</v>
      </c>
      <c r="AT11" s="186"/>
      <c r="AU11" s="186"/>
      <c r="AV11" s="186"/>
      <c r="AW11" s="186"/>
      <c r="AX11" s="186"/>
      <c r="AY11" s="188"/>
    </row>
    <row r="12" spans="1:51" ht="15.75" customHeight="1">
      <c r="A12" s="168" t="s">
        <v>91</v>
      </c>
      <c r="B12" s="169"/>
      <c r="C12" s="169"/>
      <c r="D12" s="169"/>
      <c r="E12" s="169"/>
      <c r="F12" s="169"/>
      <c r="G12" s="169"/>
      <c r="H12" s="182">
        <v>469</v>
      </c>
      <c r="I12" s="183"/>
      <c r="J12" s="183"/>
      <c r="K12" s="183"/>
      <c r="L12" s="183"/>
      <c r="M12" s="183"/>
      <c r="N12" s="183"/>
      <c r="O12" s="183"/>
      <c r="P12" s="184"/>
      <c r="Q12" s="185">
        <v>72</v>
      </c>
      <c r="R12" s="186"/>
      <c r="S12" s="186"/>
      <c r="T12" s="186"/>
      <c r="U12" s="186"/>
      <c r="V12" s="186"/>
      <c r="W12" s="187"/>
      <c r="X12" s="185">
        <v>51</v>
      </c>
      <c r="Y12" s="186"/>
      <c r="Z12" s="186"/>
      <c r="AA12" s="186"/>
      <c r="AB12" s="186"/>
      <c r="AC12" s="186"/>
      <c r="AD12" s="187"/>
      <c r="AE12" s="185">
        <v>170</v>
      </c>
      <c r="AF12" s="186"/>
      <c r="AG12" s="186"/>
      <c r="AH12" s="186"/>
      <c r="AI12" s="186"/>
      <c r="AJ12" s="186"/>
      <c r="AK12" s="187"/>
      <c r="AL12" s="185">
        <v>63</v>
      </c>
      <c r="AM12" s="186"/>
      <c r="AN12" s="186"/>
      <c r="AO12" s="186"/>
      <c r="AP12" s="186"/>
      <c r="AQ12" s="186"/>
      <c r="AR12" s="187"/>
      <c r="AS12" s="185">
        <v>227</v>
      </c>
      <c r="AT12" s="186"/>
      <c r="AU12" s="186"/>
      <c r="AV12" s="186"/>
      <c r="AW12" s="186"/>
      <c r="AX12" s="186"/>
      <c r="AY12" s="188"/>
    </row>
    <row r="13" spans="1:51" ht="15.75" customHeight="1">
      <c r="A13" s="168" t="s">
        <v>92</v>
      </c>
      <c r="B13" s="169"/>
      <c r="C13" s="169"/>
      <c r="D13" s="169"/>
      <c r="E13" s="169"/>
      <c r="F13" s="169"/>
      <c r="G13" s="169"/>
      <c r="H13" s="182">
        <v>260</v>
      </c>
      <c r="I13" s="183"/>
      <c r="J13" s="183"/>
      <c r="K13" s="183"/>
      <c r="L13" s="183"/>
      <c r="M13" s="183"/>
      <c r="N13" s="183"/>
      <c r="O13" s="183"/>
      <c r="P13" s="184"/>
      <c r="Q13" s="185">
        <v>40</v>
      </c>
      <c r="R13" s="186"/>
      <c r="S13" s="186"/>
      <c r="T13" s="186"/>
      <c r="U13" s="186"/>
      <c r="V13" s="186"/>
      <c r="W13" s="187"/>
      <c r="X13" s="185">
        <v>30</v>
      </c>
      <c r="Y13" s="186"/>
      <c r="Z13" s="186"/>
      <c r="AA13" s="186"/>
      <c r="AB13" s="186"/>
      <c r="AC13" s="186"/>
      <c r="AD13" s="187"/>
      <c r="AE13" s="185">
        <v>80</v>
      </c>
      <c r="AF13" s="186"/>
      <c r="AG13" s="186"/>
      <c r="AH13" s="186"/>
      <c r="AI13" s="186"/>
      <c r="AJ13" s="186"/>
      <c r="AK13" s="187"/>
      <c r="AL13" s="185">
        <v>17</v>
      </c>
      <c r="AM13" s="186"/>
      <c r="AN13" s="186"/>
      <c r="AO13" s="186"/>
      <c r="AP13" s="186"/>
      <c r="AQ13" s="186"/>
      <c r="AR13" s="187"/>
      <c r="AS13" s="185">
        <v>140</v>
      </c>
      <c r="AT13" s="186"/>
      <c r="AU13" s="186"/>
      <c r="AV13" s="186"/>
      <c r="AW13" s="186"/>
      <c r="AX13" s="186"/>
      <c r="AY13" s="188"/>
    </row>
    <row r="14" spans="1:51" ht="15.75" customHeight="1">
      <c r="A14" s="168" t="s">
        <v>93</v>
      </c>
      <c r="B14" s="169"/>
      <c r="C14" s="169"/>
      <c r="D14" s="169"/>
      <c r="E14" s="169"/>
      <c r="F14" s="169"/>
      <c r="G14" s="169"/>
      <c r="H14" s="182">
        <v>37</v>
      </c>
      <c r="I14" s="183"/>
      <c r="J14" s="183"/>
      <c r="K14" s="183"/>
      <c r="L14" s="183"/>
      <c r="M14" s="183"/>
      <c r="N14" s="183"/>
      <c r="O14" s="183"/>
      <c r="P14" s="184"/>
      <c r="Q14" s="185">
        <v>7</v>
      </c>
      <c r="R14" s="186"/>
      <c r="S14" s="186"/>
      <c r="T14" s="186"/>
      <c r="U14" s="186"/>
      <c r="V14" s="186"/>
      <c r="W14" s="187"/>
      <c r="X14" s="185">
        <v>4</v>
      </c>
      <c r="Y14" s="186"/>
      <c r="Z14" s="186"/>
      <c r="AA14" s="186"/>
      <c r="AB14" s="186"/>
      <c r="AC14" s="186"/>
      <c r="AD14" s="187"/>
      <c r="AE14" s="185">
        <v>12</v>
      </c>
      <c r="AF14" s="186"/>
      <c r="AG14" s="186"/>
      <c r="AH14" s="186"/>
      <c r="AI14" s="186"/>
      <c r="AJ14" s="186"/>
      <c r="AK14" s="187"/>
      <c r="AL14" s="185">
        <v>3</v>
      </c>
      <c r="AM14" s="186"/>
      <c r="AN14" s="186"/>
      <c r="AO14" s="186"/>
      <c r="AP14" s="186"/>
      <c r="AQ14" s="186"/>
      <c r="AR14" s="187"/>
      <c r="AS14" s="185">
        <v>18</v>
      </c>
      <c r="AT14" s="186"/>
      <c r="AU14" s="186"/>
      <c r="AV14" s="186"/>
      <c r="AW14" s="186"/>
      <c r="AX14" s="186"/>
      <c r="AY14" s="188"/>
    </row>
    <row r="15" spans="1:51" ht="15.75" customHeight="1">
      <c r="A15" s="168" t="s">
        <v>94</v>
      </c>
      <c r="B15" s="169"/>
      <c r="C15" s="169"/>
      <c r="D15" s="169"/>
      <c r="E15" s="169"/>
      <c r="F15" s="169"/>
      <c r="G15" s="169"/>
      <c r="H15" s="182">
        <v>197</v>
      </c>
      <c r="I15" s="183"/>
      <c r="J15" s="183"/>
      <c r="K15" s="183"/>
      <c r="L15" s="183"/>
      <c r="M15" s="183"/>
      <c r="N15" s="183"/>
      <c r="O15" s="183"/>
      <c r="P15" s="184"/>
      <c r="Q15" s="185">
        <v>50</v>
      </c>
      <c r="R15" s="186"/>
      <c r="S15" s="186"/>
      <c r="T15" s="186"/>
      <c r="U15" s="186"/>
      <c r="V15" s="186"/>
      <c r="W15" s="187"/>
      <c r="X15" s="185">
        <v>26</v>
      </c>
      <c r="Y15" s="186"/>
      <c r="Z15" s="186"/>
      <c r="AA15" s="186"/>
      <c r="AB15" s="186"/>
      <c r="AC15" s="186"/>
      <c r="AD15" s="187"/>
      <c r="AE15" s="185">
        <v>71</v>
      </c>
      <c r="AF15" s="186"/>
      <c r="AG15" s="186"/>
      <c r="AH15" s="186"/>
      <c r="AI15" s="186"/>
      <c r="AJ15" s="186"/>
      <c r="AK15" s="187"/>
      <c r="AL15" s="185">
        <v>21</v>
      </c>
      <c r="AM15" s="186"/>
      <c r="AN15" s="186"/>
      <c r="AO15" s="186"/>
      <c r="AP15" s="186"/>
      <c r="AQ15" s="186"/>
      <c r="AR15" s="187"/>
      <c r="AS15" s="185">
        <v>76</v>
      </c>
      <c r="AT15" s="186"/>
      <c r="AU15" s="186"/>
      <c r="AV15" s="186"/>
      <c r="AW15" s="186"/>
      <c r="AX15" s="186"/>
      <c r="AY15" s="188"/>
    </row>
    <row r="16" spans="1:51" ht="15.75" customHeight="1">
      <c r="A16" s="168" t="s">
        <v>95</v>
      </c>
      <c r="B16" s="169"/>
      <c r="C16" s="169"/>
      <c r="D16" s="169"/>
      <c r="E16" s="169"/>
      <c r="F16" s="169"/>
      <c r="G16" s="169"/>
      <c r="H16" s="189">
        <v>466</v>
      </c>
      <c r="I16" s="190"/>
      <c r="J16" s="190"/>
      <c r="K16" s="190"/>
      <c r="L16" s="190"/>
      <c r="M16" s="190"/>
      <c r="N16" s="190"/>
      <c r="O16" s="190"/>
      <c r="P16" s="191"/>
      <c r="Q16" s="185">
        <v>101</v>
      </c>
      <c r="R16" s="186"/>
      <c r="S16" s="186"/>
      <c r="T16" s="186"/>
      <c r="U16" s="186"/>
      <c r="V16" s="186"/>
      <c r="W16" s="187"/>
      <c r="X16" s="185">
        <v>69</v>
      </c>
      <c r="Y16" s="186"/>
      <c r="Z16" s="186"/>
      <c r="AA16" s="186"/>
      <c r="AB16" s="186"/>
      <c r="AC16" s="186"/>
      <c r="AD16" s="187"/>
      <c r="AE16" s="185">
        <v>174</v>
      </c>
      <c r="AF16" s="186"/>
      <c r="AG16" s="186"/>
      <c r="AH16" s="186"/>
      <c r="AI16" s="186"/>
      <c r="AJ16" s="186"/>
      <c r="AK16" s="187"/>
      <c r="AL16" s="185">
        <v>60</v>
      </c>
      <c r="AM16" s="186"/>
      <c r="AN16" s="186"/>
      <c r="AO16" s="186"/>
      <c r="AP16" s="186"/>
      <c r="AQ16" s="186"/>
      <c r="AR16" s="187"/>
      <c r="AS16" s="185">
        <v>191</v>
      </c>
      <c r="AT16" s="186"/>
      <c r="AU16" s="186"/>
      <c r="AV16" s="186"/>
      <c r="AW16" s="186"/>
      <c r="AX16" s="186"/>
      <c r="AY16" s="188"/>
    </row>
    <row r="17" spans="1:51" ht="15.75" customHeight="1">
      <c r="A17" s="168" t="s">
        <v>96</v>
      </c>
      <c r="B17" s="169"/>
      <c r="C17" s="169"/>
      <c r="D17" s="169"/>
      <c r="E17" s="169"/>
      <c r="F17" s="169"/>
      <c r="G17" s="169"/>
      <c r="H17" s="182">
        <v>247</v>
      </c>
      <c r="I17" s="183"/>
      <c r="J17" s="183"/>
      <c r="K17" s="183"/>
      <c r="L17" s="183"/>
      <c r="M17" s="183"/>
      <c r="N17" s="183"/>
      <c r="O17" s="183"/>
      <c r="P17" s="184"/>
      <c r="Q17" s="185">
        <v>86</v>
      </c>
      <c r="R17" s="186"/>
      <c r="S17" s="186"/>
      <c r="T17" s="186"/>
      <c r="U17" s="186"/>
      <c r="V17" s="186"/>
      <c r="W17" s="187"/>
      <c r="X17" s="185">
        <v>79</v>
      </c>
      <c r="Y17" s="186"/>
      <c r="Z17" s="186"/>
      <c r="AA17" s="186"/>
      <c r="AB17" s="186"/>
      <c r="AC17" s="186"/>
      <c r="AD17" s="187"/>
      <c r="AE17" s="185">
        <v>61</v>
      </c>
      <c r="AF17" s="186"/>
      <c r="AG17" s="186"/>
      <c r="AH17" s="186"/>
      <c r="AI17" s="186"/>
      <c r="AJ17" s="186"/>
      <c r="AK17" s="187"/>
      <c r="AL17" s="185">
        <v>21</v>
      </c>
      <c r="AM17" s="186"/>
      <c r="AN17" s="186"/>
      <c r="AO17" s="186"/>
      <c r="AP17" s="186"/>
      <c r="AQ17" s="186"/>
      <c r="AR17" s="187"/>
      <c r="AS17" s="185">
        <v>100</v>
      </c>
      <c r="AT17" s="186"/>
      <c r="AU17" s="186"/>
      <c r="AV17" s="186"/>
      <c r="AW17" s="186"/>
      <c r="AX17" s="186"/>
      <c r="AY17" s="188"/>
    </row>
    <row r="18" spans="1:51" ht="15.75" customHeight="1" thickBot="1">
      <c r="A18" s="192" t="s">
        <v>97</v>
      </c>
      <c r="B18" s="193"/>
      <c r="C18" s="193"/>
      <c r="D18" s="193"/>
      <c r="E18" s="193"/>
      <c r="F18" s="193"/>
      <c r="G18" s="193"/>
      <c r="H18" s="194">
        <v>316</v>
      </c>
      <c r="I18" s="195"/>
      <c r="J18" s="195"/>
      <c r="K18" s="195"/>
      <c r="L18" s="195"/>
      <c r="M18" s="195"/>
      <c r="N18" s="195"/>
      <c r="O18" s="195"/>
      <c r="P18" s="196"/>
      <c r="Q18" s="197">
        <v>66</v>
      </c>
      <c r="R18" s="198"/>
      <c r="S18" s="198"/>
      <c r="T18" s="198"/>
      <c r="U18" s="198"/>
      <c r="V18" s="198"/>
      <c r="W18" s="199"/>
      <c r="X18" s="197">
        <v>47</v>
      </c>
      <c r="Y18" s="198"/>
      <c r="Z18" s="198"/>
      <c r="AA18" s="198"/>
      <c r="AB18" s="198"/>
      <c r="AC18" s="198"/>
      <c r="AD18" s="199"/>
      <c r="AE18" s="197">
        <v>111</v>
      </c>
      <c r="AF18" s="198"/>
      <c r="AG18" s="198"/>
      <c r="AH18" s="198"/>
      <c r="AI18" s="198"/>
      <c r="AJ18" s="198"/>
      <c r="AK18" s="199"/>
      <c r="AL18" s="197">
        <v>37</v>
      </c>
      <c r="AM18" s="198"/>
      <c r="AN18" s="198"/>
      <c r="AO18" s="198"/>
      <c r="AP18" s="198"/>
      <c r="AQ18" s="198"/>
      <c r="AR18" s="199"/>
      <c r="AS18" s="197">
        <v>139</v>
      </c>
      <c r="AT18" s="198"/>
      <c r="AU18" s="198"/>
      <c r="AV18" s="198"/>
      <c r="AW18" s="198"/>
      <c r="AX18" s="198"/>
      <c r="AY18" s="200"/>
    </row>
    <row r="19" spans="3:49" ht="15" customHeight="1">
      <c r="C19" s="201"/>
      <c r="D19" s="201"/>
      <c r="E19" s="201"/>
      <c r="F19" s="201"/>
      <c r="G19" s="201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3"/>
      <c r="AO19" s="202"/>
      <c r="AP19" s="202"/>
      <c r="AQ19" s="202"/>
      <c r="AR19" s="202"/>
      <c r="AS19" s="202"/>
      <c r="AT19" s="202"/>
      <c r="AU19" s="202"/>
      <c r="AV19" s="202"/>
      <c r="AW19" s="202"/>
    </row>
    <row r="20" ht="17.25" customHeight="1"/>
    <row r="21" spans="1:93" ht="18" customHeight="1">
      <c r="A21" s="60" t="s">
        <v>98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AV21" s="160" t="s">
        <v>81</v>
      </c>
      <c r="AW21" s="160"/>
      <c r="AX21" s="160"/>
      <c r="AY21" s="160"/>
      <c r="CL21" s="159"/>
      <c r="CM21" s="159"/>
      <c r="CN21" s="159"/>
      <c r="CO21" s="159"/>
    </row>
    <row r="22" spans="48:93" ht="9" customHeight="1" thickBot="1">
      <c r="AV22" s="162"/>
      <c r="AW22" s="162"/>
      <c r="AX22" s="162"/>
      <c r="AY22" s="162"/>
      <c r="CE22" s="42"/>
      <c r="CL22" s="159"/>
      <c r="CM22" s="159"/>
      <c r="CN22" s="159"/>
      <c r="CO22" s="159"/>
    </row>
    <row r="23" spans="1:93" ht="7.5" customHeight="1">
      <c r="A23" s="163" t="s">
        <v>34</v>
      </c>
      <c r="B23" s="164"/>
      <c r="C23" s="164"/>
      <c r="D23" s="164"/>
      <c r="E23" s="164"/>
      <c r="F23" s="144"/>
      <c r="G23" s="144"/>
      <c r="H23" s="144"/>
      <c r="I23" s="102" t="s">
        <v>19</v>
      </c>
      <c r="J23" s="103"/>
      <c r="K23" s="103"/>
      <c r="L23" s="103"/>
      <c r="M23" s="103"/>
      <c r="N23" s="103"/>
      <c r="O23" s="103"/>
      <c r="P23" s="103"/>
      <c r="Q23" s="102" t="s">
        <v>99</v>
      </c>
      <c r="R23" s="103"/>
      <c r="S23" s="103"/>
      <c r="T23" s="103"/>
      <c r="U23" s="103"/>
      <c r="V23" s="103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02" t="s">
        <v>100</v>
      </c>
      <c r="AJ23" s="103"/>
      <c r="AK23" s="103"/>
      <c r="AL23" s="103"/>
      <c r="AM23" s="103"/>
      <c r="AN23" s="103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204"/>
      <c r="CL23" s="159"/>
      <c r="CM23" s="159"/>
      <c r="CN23" s="159"/>
      <c r="CO23" s="159"/>
    </row>
    <row r="24" spans="1:51" ht="18.75" customHeight="1">
      <c r="A24" s="168"/>
      <c r="B24" s="169"/>
      <c r="C24" s="169"/>
      <c r="D24" s="169"/>
      <c r="E24" s="169"/>
      <c r="F24" s="205"/>
      <c r="G24" s="205"/>
      <c r="H24" s="205"/>
      <c r="I24" s="170"/>
      <c r="J24" s="171"/>
      <c r="K24" s="171"/>
      <c r="L24" s="171"/>
      <c r="M24" s="171"/>
      <c r="N24" s="171"/>
      <c r="O24" s="171"/>
      <c r="P24" s="171"/>
      <c r="Q24" s="170"/>
      <c r="R24" s="171"/>
      <c r="S24" s="171"/>
      <c r="T24" s="171"/>
      <c r="U24" s="171"/>
      <c r="V24" s="171"/>
      <c r="W24" s="206" t="s">
        <v>101</v>
      </c>
      <c r="X24" s="207"/>
      <c r="Y24" s="207"/>
      <c r="Z24" s="207"/>
      <c r="AA24" s="207"/>
      <c r="AB24" s="207"/>
      <c r="AC24" s="206" t="s">
        <v>102</v>
      </c>
      <c r="AD24" s="207"/>
      <c r="AE24" s="207"/>
      <c r="AF24" s="207"/>
      <c r="AG24" s="207"/>
      <c r="AH24" s="207"/>
      <c r="AI24" s="170"/>
      <c r="AJ24" s="171"/>
      <c r="AK24" s="171"/>
      <c r="AL24" s="171"/>
      <c r="AM24" s="171"/>
      <c r="AN24" s="172"/>
      <c r="AO24" s="206" t="s">
        <v>103</v>
      </c>
      <c r="AP24" s="207"/>
      <c r="AQ24" s="207"/>
      <c r="AR24" s="207"/>
      <c r="AS24" s="207"/>
      <c r="AT24" s="208"/>
      <c r="AU24" s="206" t="s">
        <v>104</v>
      </c>
      <c r="AV24" s="209"/>
      <c r="AW24" s="209"/>
      <c r="AX24" s="209"/>
      <c r="AY24" s="210"/>
    </row>
    <row r="25" spans="1:51" ht="24.75" customHeight="1">
      <c r="A25" s="168"/>
      <c r="B25" s="169"/>
      <c r="C25" s="169"/>
      <c r="D25" s="169"/>
      <c r="E25" s="169"/>
      <c r="F25" s="205"/>
      <c r="G25" s="205"/>
      <c r="H25" s="205"/>
      <c r="I25" s="104"/>
      <c r="J25" s="105"/>
      <c r="K25" s="105"/>
      <c r="L25" s="105"/>
      <c r="M25" s="105"/>
      <c r="N25" s="105"/>
      <c r="O25" s="105"/>
      <c r="P25" s="105"/>
      <c r="Q25" s="104"/>
      <c r="R25" s="105"/>
      <c r="S25" s="105"/>
      <c r="T25" s="105"/>
      <c r="U25" s="105"/>
      <c r="V25" s="105"/>
      <c r="W25" s="211"/>
      <c r="X25" s="212"/>
      <c r="Y25" s="212"/>
      <c r="Z25" s="212"/>
      <c r="AA25" s="212"/>
      <c r="AB25" s="212"/>
      <c r="AC25" s="211"/>
      <c r="AD25" s="212"/>
      <c r="AE25" s="212"/>
      <c r="AF25" s="212"/>
      <c r="AG25" s="212"/>
      <c r="AH25" s="212"/>
      <c r="AI25" s="104"/>
      <c r="AJ25" s="105"/>
      <c r="AK25" s="105"/>
      <c r="AL25" s="105"/>
      <c r="AM25" s="105"/>
      <c r="AN25" s="177"/>
      <c r="AO25" s="211"/>
      <c r="AP25" s="212"/>
      <c r="AQ25" s="212"/>
      <c r="AR25" s="212"/>
      <c r="AS25" s="212"/>
      <c r="AT25" s="213"/>
      <c r="AU25" s="104"/>
      <c r="AV25" s="105"/>
      <c r="AW25" s="105"/>
      <c r="AX25" s="105"/>
      <c r="AY25" s="181"/>
    </row>
    <row r="26" spans="1:51" ht="15" customHeight="1">
      <c r="A26" s="168" t="s">
        <v>19</v>
      </c>
      <c r="B26" s="169"/>
      <c r="C26" s="169"/>
      <c r="D26" s="169"/>
      <c r="E26" s="169"/>
      <c r="F26" s="169" t="s">
        <v>105</v>
      </c>
      <c r="G26" s="169"/>
      <c r="H26" s="169"/>
      <c r="I26" s="214">
        <f aca="true" t="shared" si="0" ref="I26:I51">Q26+AI26</f>
        <v>3179</v>
      </c>
      <c r="J26" s="215"/>
      <c r="K26" s="215"/>
      <c r="L26" s="215"/>
      <c r="M26" s="215"/>
      <c r="N26" s="215"/>
      <c r="O26" s="215"/>
      <c r="P26" s="215"/>
      <c r="Q26" s="214">
        <f>Q28+Q30+Q32+Q34+Q36+Q38+Q40+Q42+Q44+Q46+Q48+Q50</f>
        <v>452</v>
      </c>
      <c r="R26" s="215"/>
      <c r="S26" s="215"/>
      <c r="T26" s="215"/>
      <c r="U26" s="215"/>
      <c r="V26" s="215"/>
      <c r="W26" s="214">
        <f>W28+W30+W32+W34+W36+W38+W40+W42+W44+W46+W48+W50</f>
        <v>224</v>
      </c>
      <c r="X26" s="215"/>
      <c r="Y26" s="215"/>
      <c r="Z26" s="215"/>
      <c r="AA26" s="215"/>
      <c r="AB26" s="215"/>
      <c r="AC26" s="216">
        <f>AC28+AC30+AC32+AC34+AC36+AC38+AC40+AC42+AC44+AC46+AC48+AC50</f>
        <v>179</v>
      </c>
      <c r="AD26" s="217"/>
      <c r="AE26" s="217"/>
      <c r="AF26" s="217"/>
      <c r="AG26" s="217"/>
      <c r="AH26" s="217"/>
      <c r="AI26" s="214">
        <f>AI28+AI30+AI32+AI34+AI36+AI38+AI40+AI42+AI44+AI46+AI48+AI50</f>
        <v>2727</v>
      </c>
      <c r="AJ26" s="215"/>
      <c r="AK26" s="215"/>
      <c r="AL26" s="215"/>
      <c r="AM26" s="215"/>
      <c r="AN26" s="218"/>
      <c r="AO26" s="216">
        <f>AO28+AO30+AO32+AO34+AO36+AO38+AO40+AO42+AO44+AO46+AO48+AO50</f>
        <v>534</v>
      </c>
      <c r="AP26" s="217"/>
      <c r="AQ26" s="217"/>
      <c r="AR26" s="217"/>
      <c r="AS26" s="217"/>
      <c r="AT26" s="217"/>
      <c r="AU26" s="216">
        <f>AU28+AU30+AU32+AU34+AU36+AU38+AU40+AU42+AU44+AU46+AU48+AU50</f>
        <v>2193</v>
      </c>
      <c r="AV26" s="217"/>
      <c r="AW26" s="217"/>
      <c r="AX26" s="217"/>
      <c r="AY26" s="219"/>
    </row>
    <row r="27" spans="1:51" ht="15" customHeight="1">
      <c r="A27" s="168"/>
      <c r="B27" s="169"/>
      <c r="C27" s="169"/>
      <c r="D27" s="169"/>
      <c r="E27" s="169"/>
      <c r="F27" s="169" t="s">
        <v>106</v>
      </c>
      <c r="G27" s="169"/>
      <c r="H27" s="169"/>
      <c r="I27" s="214">
        <f t="shared" si="0"/>
        <v>2521</v>
      </c>
      <c r="J27" s="215"/>
      <c r="K27" s="215"/>
      <c r="L27" s="215"/>
      <c r="M27" s="215"/>
      <c r="N27" s="215"/>
      <c r="O27" s="215"/>
      <c r="P27" s="215"/>
      <c r="Q27" s="214">
        <f>Q29+Q31+Q33+Q35+Q37+Q39+Q41+Q43+Q45+Q47+Q49+Q51</f>
        <v>422</v>
      </c>
      <c r="R27" s="215"/>
      <c r="S27" s="215"/>
      <c r="T27" s="215"/>
      <c r="U27" s="215"/>
      <c r="V27" s="215"/>
      <c r="W27" s="214">
        <f>W29+W31+W33+W35+W37+W39+W41+W43+W45+W47+W49+W51</f>
        <v>174</v>
      </c>
      <c r="X27" s="215"/>
      <c r="Y27" s="215"/>
      <c r="Z27" s="215"/>
      <c r="AA27" s="215"/>
      <c r="AB27" s="215"/>
      <c r="AC27" s="216">
        <f>AC29+AC31+AC33+AC35+AC37+AC39+AC41+AC43+AC45+AC47+AC49+AC51</f>
        <v>142</v>
      </c>
      <c r="AD27" s="217"/>
      <c r="AE27" s="217"/>
      <c r="AF27" s="217"/>
      <c r="AG27" s="217"/>
      <c r="AH27" s="217"/>
      <c r="AI27" s="214">
        <f>AI29+AI31+AI33+AI35+AI37+AI39+AI41+AI43+AI45+AI47+AI49+AI51</f>
        <v>2099</v>
      </c>
      <c r="AJ27" s="215"/>
      <c r="AK27" s="215"/>
      <c r="AL27" s="215"/>
      <c r="AM27" s="215"/>
      <c r="AN27" s="218"/>
      <c r="AO27" s="216">
        <f>AO29+AO31+AO33+AO35+AO37+AO39+AO41+AO43+AO45+AO47+AO49+AO51</f>
        <v>478</v>
      </c>
      <c r="AP27" s="217"/>
      <c r="AQ27" s="217"/>
      <c r="AR27" s="217"/>
      <c r="AS27" s="217"/>
      <c r="AT27" s="217"/>
      <c r="AU27" s="216">
        <f>AU29+AU31+AU33+AU35+AU37+AU39+AU41+AU43+AU45+AU47+AU49+AU51</f>
        <v>1621</v>
      </c>
      <c r="AV27" s="217"/>
      <c r="AW27" s="217"/>
      <c r="AX27" s="217"/>
      <c r="AY27" s="219"/>
    </row>
    <row r="28" spans="1:51" ht="15" customHeight="1">
      <c r="A28" s="168" t="s">
        <v>86</v>
      </c>
      <c r="B28" s="169"/>
      <c r="C28" s="169"/>
      <c r="D28" s="169"/>
      <c r="E28" s="169"/>
      <c r="F28" s="169" t="s">
        <v>105</v>
      </c>
      <c r="G28" s="169"/>
      <c r="H28" s="169"/>
      <c r="I28" s="216">
        <f t="shared" si="0"/>
        <v>207</v>
      </c>
      <c r="J28" s="217"/>
      <c r="K28" s="217"/>
      <c r="L28" s="217"/>
      <c r="M28" s="217"/>
      <c r="N28" s="217"/>
      <c r="O28" s="217"/>
      <c r="P28" s="217"/>
      <c r="Q28" s="216">
        <v>33</v>
      </c>
      <c r="R28" s="217"/>
      <c r="S28" s="217"/>
      <c r="T28" s="217"/>
      <c r="U28" s="217"/>
      <c r="V28" s="217"/>
      <c r="W28" s="216">
        <v>20</v>
      </c>
      <c r="X28" s="217"/>
      <c r="Y28" s="217"/>
      <c r="Z28" s="217"/>
      <c r="AA28" s="217"/>
      <c r="AB28" s="217"/>
      <c r="AC28" s="216">
        <v>18</v>
      </c>
      <c r="AD28" s="217"/>
      <c r="AE28" s="217"/>
      <c r="AF28" s="217"/>
      <c r="AG28" s="217"/>
      <c r="AH28" s="217"/>
      <c r="AI28" s="216">
        <v>174</v>
      </c>
      <c r="AJ28" s="217"/>
      <c r="AK28" s="217"/>
      <c r="AL28" s="217"/>
      <c r="AM28" s="217"/>
      <c r="AN28" s="220"/>
      <c r="AO28" s="216">
        <v>42</v>
      </c>
      <c r="AP28" s="217"/>
      <c r="AQ28" s="217"/>
      <c r="AR28" s="217"/>
      <c r="AS28" s="217"/>
      <c r="AT28" s="217"/>
      <c r="AU28" s="216">
        <v>132</v>
      </c>
      <c r="AV28" s="217"/>
      <c r="AW28" s="217"/>
      <c r="AX28" s="217"/>
      <c r="AY28" s="219"/>
    </row>
    <row r="29" spans="1:51" ht="15" customHeight="1">
      <c r="A29" s="168"/>
      <c r="B29" s="169"/>
      <c r="C29" s="169"/>
      <c r="D29" s="169"/>
      <c r="E29" s="169"/>
      <c r="F29" s="169" t="s">
        <v>106</v>
      </c>
      <c r="G29" s="169"/>
      <c r="H29" s="169"/>
      <c r="I29" s="216">
        <f t="shared" si="0"/>
        <v>152</v>
      </c>
      <c r="J29" s="217"/>
      <c r="K29" s="217"/>
      <c r="L29" s="217"/>
      <c r="M29" s="217"/>
      <c r="N29" s="217"/>
      <c r="O29" s="217"/>
      <c r="P29" s="217"/>
      <c r="Q29" s="216">
        <v>29</v>
      </c>
      <c r="R29" s="217"/>
      <c r="S29" s="217"/>
      <c r="T29" s="217"/>
      <c r="U29" s="217"/>
      <c r="V29" s="217"/>
      <c r="W29" s="216">
        <v>12</v>
      </c>
      <c r="X29" s="217"/>
      <c r="Y29" s="217"/>
      <c r="Z29" s="217"/>
      <c r="AA29" s="217"/>
      <c r="AB29" s="217"/>
      <c r="AC29" s="216">
        <v>15</v>
      </c>
      <c r="AD29" s="217"/>
      <c r="AE29" s="217"/>
      <c r="AF29" s="217"/>
      <c r="AG29" s="217"/>
      <c r="AH29" s="217"/>
      <c r="AI29" s="216">
        <v>123</v>
      </c>
      <c r="AJ29" s="217"/>
      <c r="AK29" s="217"/>
      <c r="AL29" s="217"/>
      <c r="AM29" s="217"/>
      <c r="AN29" s="220"/>
      <c r="AO29" s="216">
        <v>29</v>
      </c>
      <c r="AP29" s="217"/>
      <c r="AQ29" s="217"/>
      <c r="AR29" s="217"/>
      <c r="AS29" s="217"/>
      <c r="AT29" s="217"/>
      <c r="AU29" s="216">
        <v>94</v>
      </c>
      <c r="AV29" s="217"/>
      <c r="AW29" s="217"/>
      <c r="AX29" s="217"/>
      <c r="AY29" s="219"/>
    </row>
    <row r="30" spans="1:51" ht="15" customHeight="1">
      <c r="A30" s="168" t="s">
        <v>87</v>
      </c>
      <c r="B30" s="169"/>
      <c r="C30" s="169"/>
      <c r="D30" s="169"/>
      <c r="E30" s="169"/>
      <c r="F30" s="169" t="s">
        <v>105</v>
      </c>
      <c r="G30" s="169"/>
      <c r="H30" s="169"/>
      <c r="I30" s="216">
        <f t="shared" si="0"/>
        <v>208</v>
      </c>
      <c r="J30" s="217"/>
      <c r="K30" s="217"/>
      <c r="L30" s="217"/>
      <c r="M30" s="217"/>
      <c r="N30" s="217"/>
      <c r="O30" s="217"/>
      <c r="P30" s="217"/>
      <c r="Q30" s="216">
        <v>41</v>
      </c>
      <c r="R30" s="217"/>
      <c r="S30" s="217"/>
      <c r="T30" s="217"/>
      <c r="U30" s="217"/>
      <c r="V30" s="217"/>
      <c r="W30" s="216">
        <v>14</v>
      </c>
      <c r="X30" s="217"/>
      <c r="Y30" s="217"/>
      <c r="Z30" s="217"/>
      <c r="AA30" s="217"/>
      <c r="AB30" s="217"/>
      <c r="AC30" s="216">
        <v>14</v>
      </c>
      <c r="AD30" s="217"/>
      <c r="AE30" s="217"/>
      <c r="AF30" s="217"/>
      <c r="AG30" s="217"/>
      <c r="AH30" s="217"/>
      <c r="AI30" s="216">
        <v>167</v>
      </c>
      <c r="AJ30" s="217"/>
      <c r="AK30" s="217"/>
      <c r="AL30" s="217"/>
      <c r="AM30" s="217"/>
      <c r="AN30" s="220"/>
      <c r="AO30" s="216">
        <v>26</v>
      </c>
      <c r="AP30" s="217"/>
      <c r="AQ30" s="217"/>
      <c r="AR30" s="217"/>
      <c r="AS30" s="217"/>
      <c r="AT30" s="217"/>
      <c r="AU30" s="216">
        <v>141</v>
      </c>
      <c r="AV30" s="217"/>
      <c r="AW30" s="217"/>
      <c r="AX30" s="217"/>
      <c r="AY30" s="219"/>
    </row>
    <row r="31" spans="1:51" ht="15" customHeight="1">
      <c r="A31" s="168"/>
      <c r="B31" s="169"/>
      <c r="C31" s="169"/>
      <c r="D31" s="169"/>
      <c r="E31" s="169"/>
      <c r="F31" s="169" t="s">
        <v>106</v>
      </c>
      <c r="G31" s="169"/>
      <c r="H31" s="169"/>
      <c r="I31" s="216">
        <f t="shared" si="0"/>
        <v>160</v>
      </c>
      <c r="J31" s="217"/>
      <c r="K31" s="217"/>
      <c r="L31" s="217"/>
      <c r="M31" s="217"/>
      <c r="N31" s="217"/>
      <c r="O31" s="217"/>
      <c r="P31" s="217"/>
      <c r="Q31" s="216">
        <v>36</v>
      </c>
      <c r="R31" s="217"/>
      <c r="S31" s="217"/>
      <c r="T31" s="217"/>
      <c r="U31" s="217"/>
      <c r="V31" s="217"/>
      <c r="W31" s="216">
        <v>6</v>
      </c>
      <c r="X31" s="217"/>
      <c r="Y31" s="217"/>
      <c r="Z31" s="217"/>
      <c r="AA31" s="217"/>
      <c r="AB31" s="217"/>
      <c r="AC31" s="216">
        <v>7</v>
      </c>
      <c r="AD31" s="217"/>
      <c r="AE31" s="217"/>
      <c r="AF31" s="217"/>
      <c r="AG31" s="217"/>
      <c r="AH31" s="217"/>
      <c r="AI31" s="216">
        <v>124</v>
      </c>
      <c r="AJ31" s="217"/>
      <c r="AK31" s="217"/>
      <c r="AL31" s="217"/>
      <c r="AM31" s="217"/>
      <c r="AN31" s="220"/>
      <c r="AO31" s="216">
        <v>17</v>
      </c>
      <c r="AP31" s="217"/>
      <c r="AQ31" s="217"/>
      <c r="AR31" s="217"/>
      <c r="AS31" s="217"/>
      <c r="AT31" s="217"/>
      <c r="AU31" s="216">
        <v>107</v>
      </c>
      <c r="AV31" s="217"/>
      <c r="AW31" s="217"/>
      <c r="AX31" s="217"/>
      <c r="AY31" s="219"/>
    </row>
    <row r="32" spans="1:51" ht="15" customHeight="1">
      <c r="A32" s="168" t="s">
        <v>88</v>
      </c>
      <c r="B32" s="169"/>
      <c r="C32" s="169"/>
      <c r="D32" s="169"/>
      <c r="E32" s="169"/>
      <c r="F32" s="169" t="s">
        <v>105</v>
      </c>
      <c r="G32" s="169"/>
      <c r="H32" s="169"/>
      <c r="I32" s="216">
        <f t="shared" si="0"/>
        <v>180</v>
      </c>
      <c r="J32" s="217"/>
      <c r="K32" s="217"/>
      <c r="L32" s="217"/>
      <c r="M32" s="217"/>
      <c r="N32" s="217"/>
      <c r="O32" s="217"/>
      <c r="P32" s="217"/>
      <c r="Q32" s="216">
        <v>21</v>
      </c>
      <c r="R32" s="217"/>
      <c r="S32" s="217"/>
      <c r="T32" s="217"/>
      <c r="U32" s="217"/>
      <c r="V32" s="217"/>
      <c r="W32" s="216">
        <v>9</v>
      </c>
      <c r="X32" s="217"/>
      <c r="Y32" s="217"/>
      <c r="Z32" s="217"/>
      <c r="AA32" s="217"/>
      <c r="AB32" s="217"/>
      <c r="AC32" s="216">
        <v>8</v>
      </c>
      <c r="AD32" s="217"/>
      <c r="AE32" s="217"/>
      <c r="AF32" s="217"/>
      <c r="AG32" s="217"/>
      <c r="AH32" s="217"/>
      <c r="AI32" s="216">
        <v>159</v>
      </c>
      <c r="AJ32" s="217"/>
      <c r="AK32" s="217"/>
      <c r="AL32" s="217"/>
      <c r="AM32" s="217"/>
      <c r="AN32" s="220"/>
      <c r="AO32" s="216">
        <v>33</v>
      </c>
      <c r="AP32" s="217"/>
      <c r="AQ32" s="217"/>
      <c r="AR32" s="217"/>
      <c r="AS32" s="217"/>
      <c r="AT32" s="217"/>
      <c r="AU32" s="216">
        <v>126</v>
      </c>
      <c r="AV32" s="217"/>
      <c r="AW32" s="217"/>
      <c r="AX32" s="217"/>
      <c r="AY32" s="219"/>
    </row>
    <row r="33" spans="1:51" ht="15" customHeight="1">
      <c r="A33" s="168"/>
      <c r="B33" s="169"/>
      <c r="C33" s="169"/>
      <c r="D33" s="169"/>
      <c r="E33" s="169"/>
      <c r="F33" s="169" t="s">
        <v>106</v>
      </c>
      <c r="G33" s="169"/>
      <c r="H33" s="169"/>
      <c r="I33" s="216">
        <f t="shared" si="0"/>
        <v>142</v>
      </c>
      <c r="J33" s="217"/>
      <c r="K33" s="217"/>
      <c r="L33" s="217"/>
      <c r="M33" s="217"/>
      <c r="N33" s="217"/>
      <c r="O33" s="217"/>
      <c r="P33" s="217"/>
      <c r="Q33" s="216">
        <v>17</v>
      </c>
      <c r="R33" s="217"/>
      <c r="S33" s="217"/>
      <c r="T33" s="217"/>
      <c r="U33" s="217"/>
      <c r="V33" s="217"/>
      <c r="W33" s="216">
        <v>5</v>
      </c>
      <c r="X33" s="217"/>
      <c r="Y33" s="217"/>
      <c r="Z33" s="217"/>
      <c r="AA33" s="217"/>
      <c r="AB33" s="217"/>
      <c r="AC33" s="216">
        <v>6</v>
      </c>
      <c r="AD33" s="217"/>
      <c r="AE33" s="217"/>
      <c r="AF33" s="217"/>
      <c r="AG33" s="217"/>
      <c r="AH33" s="217"/>
      <c r="AI33" s="216">
        <v>125</v>
      </c>
      <c r="AJ33" s="217"/>
      <c r="AK33" s="217"/>
      <c r="AL33" s="217"/>
      <c r="AM33" s="217"/>
      <c r="AN33" s="220"/>
      <c r="AO33" s="216">
        <v>26</v>
      </c>
      <c r="AP33" s="217"/>
      <c r="AQ33" s="217"/>
      <c r="AR33" s="217"/>
      <c r="AS33" s="217"/>
      <c r="AT33" s="217"/>
      <c r="AU33" s="216">
        <v>99</v>
      </c>
      <c r="AV33" s="217"/>
      <c r="AW33" s="217"/>
      <c r="AX33" s="217"/>
      <c r="AY33" s="219"/>
    </row>
    <row r="34" spans="1:51" ht="15" customHeight="1">
      <c r="A34" s="168" t="s">
        <v>89</v>
      </c>
      <c r="B34" s="169"/>
      <c r="C34" s="169"/>
      <c r="D34" s="169"/>
      <c r="E34" s="169"/>
      <c r="F34" s="169" t="s">
        <v>105</v>
      </c>
      <c r="G34" s="169"/>
      <c r="H34" s="169"/>
      <c r="I34" s="216">
        <f t="shared" si="0"/>
        <v>92</v>
      </c>
      <c r="J34" s="217"/>
      <c r="K34" s="217"/>
      <c r="L34" s="217"/>
      <c r="M34" s="217"/>
      <c r="N34" s="217"/>
      <c r="O34" s="217"/>
      <c r="P34" s="217"/>
      <c r="Q34" s="216">
        <v>13</v>
      </c>
      <c r="R34" s="217"/>
      <c r="S34" s="217"/>
      <c r="T34" s="217"/>
      <c r="U34" s="217"/>
      <c r="V34" s="217"/>
      <c r="W34" s="216">
        <v>3</v>
      </c>
      <c r="X34" s="217"/>
      <c r="Y34" s="217"/>
      <c r="Z34" s="217"/>
      <c r="AA34" s="217"/>
      <c r="AB34" s="217"/>
      <c r="AC34" s="216">
        <v>2</v>
      </c>
      <c r="AD34" s="217"/>
      <c r="AE34" s="217"/>
      <c r="AF34" s="217"/>
      <c r="AG34" s="217"/>
      <c r="AH34" s="217"/>
      <c r="AI34" s="216">
        <v>79</v>
      </c>
      <c r="AJ34" s="217"/>
      <c r="AK34" s="217"/>
      <c r="AL34" s="217"/>
      <c r="AM34" s="217"/>
      <c r="AN34" s="220"/>
      <c r="AO34" s="216">
        <v>10</v>
      </c>
      <c r="AP34" s="217"/>
      <c r="AQ34" s="217"/>
      <c r="AR34" s="217"/>
      <c r="AS34" s="217"/>
      <c r="AT34" s="217"/>
      <c r="AU34" s="216">
        <v>69</v>
      </c>
      <c r="AV34" s="217"/>
      <c r="AW34" s="217"/>
      <c r="AX34" s="217"/>
      <c r="AY34" s="219"/>
    </row>
    <row r="35" spans="1:51" ht="15" customHeight="1">
      <c r="A35" s="168"/>
      <c r="B35" s="169"/>
      <c r="C35" s="169"/>
      <c r="D35" s="169"/>
      <c r="E35" s="169"/>
      <c r="F35" s="169" t="s">
        <v>106</v>
      </c>
      <c r="G35" s="169"/>
      <c r="H35" s="169"/>
      <c r="I35" s="216">
        <f t="shared" si="0"/>
        <v>42</v>
      </c>
      <c r="J35" s="217"/>
      <c r="K35" s="217"/>
      <c r="L35" s="217"/>
      <c r="M35" s="217"/>
      <c r="N35" s="217"/>
      <c r="O35" s="217"/>
      <c r="P35" s="220"/>
      <c r="Q35" s="216">
        <v>11</v>
      </c>
      <c r="R35" s="217"/>
      <c r="S35" s="217"/>
      <c r="T35" s="217"/>
      <c r="U35" s="217"/>
      <c r="V35" s="217"/>
      <c r="W35" s="216">
        <v>5</v>
      </c>
      <c r="X35" s="217"/>
      <c r="Y35" s="217"/>
      <c r="Z35" s="217"/>
      <c r="AA35" s="217"/>
      <c r="AB35" s="217"/>
      <c r="AC35" s="216">
        <v>3</v>
      </c>
      <c r="AD35" s="217"/>
      <c r="AE35" s="217"/>
      <c r="AF35" s="217"/>
      <c r="AG35" s="217"/>
      <c r="AH35" s="217"/>
      <c r="AI35" s="216">
        <v>31</v>
      </c>
      <c r="AJ35" s="217"/>
      <c r="AK35" s="217"/>
      <c r="AL35" s="217"/>
      <c r="AM35" s="217"/>
      <c r="AN35" s="220"/>
      <c r="AO35" s="216">
        <v>3</v>
      </c>
      <c r="AP35" s="217"/>
      <c r="AQ35" s="217"/>
      <c r="AR35" s="217"/>
      <c r="AS35" s="217"/>
      <c r="AT35" s="217"/>
      <c r="AU35" s="216">
        <v>28</v>
      </c>
      <c r="AV35" s="217"/>
      <c r="AW35" s="217"/>
      <c r="AX35" s="217"/>
      <c r="AY35" s="219"/>
    </row>
    <row r="36" spans="1:51" ht="15" customHeight="1">
      <c r="A36" s="168" t="s">
        <v>90</v>
      </c>
      <c r="B36" s="169"/>
      <c r="C36" s="169"/>
      <c r="D36" s="169"/>
      <c r="E36" s="169"/>
      <c r="F36" s="169" t="s">
        <v>105</v>
      </c>
      <c r="G36" s="169"/>
      <c r="H36" s="169"/>
      <c r="I36" s="216">
        <f t="shared" si="0"/>
        <v>42</v>
      </c>
      <c r="J36" s="217"/>
      <c r="K36" s="217"/>
      <c r="L36" s="217"/>
      <c r="M36" s="217"/>
      <c r="N36" s="217"/>
      <c r="O36" s="217"/>
      <c r="P36" s="217"/>
      <c r="Q36" s="216">
        <v>12</v>
      </c>
      <c r="R36" s="217"/>
      <c r="S36" s="217"/>
      <c r="T36" s="217"/>
      <c r="U36" s="217"/>
      <c r="V36" s="217"/>
      <c r="W36" s="221">
        <v>0</v>
      </c>
      <c r="X36" s="222"/>
      <c r="Y36" s="222"/>
      <c r="Z36" s="222"/>
      <c r="AA36" s="222"/>
      <c r="AB36" s="222"/>
      <c r="AC36" s="216">
        <v>1</v>
      </c>
      <c r="AD36" s="217"/>
      <c r="AE36" s="217"/>
      <c r="AF36" s="217"/>
      <c r="AG36" s="217"/>
      <c r="AH36" s="217"/>
      <c r="AI36" s="216">
        <v>30</v>
      </c>
      <c r="AJ36" s="217"/>
      <c r="AK36" s="217"/>
      <c r="AL36" s="217"/>
      <c r="AM36" s="217"/>
      <c r="AN36" s="220"/>
      <c r="AO36" s="216">
        <v>0</v>
      </c>
      <c r="AP36" s="217"/>
      <c r="AQ36" s="217"/>
      <c r="AR36" s="217"/>
      <c r="AS36" s="217"/>
      <c r="AT36" s="217"/>
      <c r="AU36" s="216">
        <v>30</v>
      </c>
      <c r="AV36" s="217"/>
      <c r="AW36" s="217"/>
      <c r="AX36" s="217"/>
      <c r="AY36" s="219"/>
    </row>
    <row r="37" spans="1:51" ht="15" customHeight="1">
      <c r="A37" s="168"/>
      <c r="B37" s="169"/>
      <c r="C37" s="169"/>
      <c r="D37" s="169"/>
      <c r="E37" s="169"/>
      <c r="F37" s="169" t="s">
        <v>106</v>
      </c>
      <c r="G37" s="169"/>
      <c r="H37" s="169"/>
      <c r="I37" s="216">
        <f t="shared" si="0"/>
        <v>33</v>
      </c>
      <c r="J37" s="217"/>
      <c r="K37" s="217"/>
      <c r="L37" s="217"/>
      <c r="M37" s="217"/>
      <c r="N37" s="217"/>
      <c r="O37" s="217"/>
      <c r="P37" s="220"/>
      <c r="Q37" s="216">
        <v>8</v>
      </c>
      <c r="R37" s="217"/>
      <c r="S37" s="217"/>
      <c r="T37" s="217"/>
      <c r="U37" s="217"/>
      <c r="V37" s="217"/>
      <c r="W37" s="221">
        <v>0</v>
      </c>
      <c r="X37" s="222"/>
      <c r="Y37" s="222"/>
      <c r="Z37" s="222"/>
      <c r="AA37" s="222"/>
      <c r="AB37" s="222"/>
      <c r="AC37" s="216">
        <v>1</v>
      </c>
      <c r="AD37" s="217"/>
      <c r="AE37" s="217"/>
      <c r="AF37" s="217"/>
      <c r="AG37" s="217"/>
      <c r="AH37" s="217"/>
      <c r="AI37" s="216">
        <v>25</v>
      </c>
      <c r="AJ37" s="217"/>
      <c r="AK37" s="217"/>
      <c r="AL37" s="217"/>
      <c r="AM37" s="217"/>
      <c r="AN37" s="220"/>
      <c r="AO37" s="216">
        <v>3</v>
      </c>
      <c r="AP37" s="217"/>
      <c r="AQ37" s="217"/>
      <c r="AR37" s="217"/>
      <c r="AS37" s="217"/>
      <c r="AT37" s="217"/>
      <c r="AU37" s="216">
        <v>22</v>
      </c>
      <c r="AV37" s="217"/>
      <c r="AW37" s="217"/>
      <c r="AX37" s="217"/>
      <c r="AY37" s="219"/>
    </row>
    <row r="38" spans="1:51" ht="15" customHeight="1">
      <c r="A38" s="168" t="s">
        <v>91</v>
      </c>
      <c r="B38" s="169"/>
      <c r="C38" s="169"/>
      <c r="D38" s="169"/>
      <c r="E38" s="169"/>
      <c r="F38" s="169" t="s">
        <v>105</v>
      </c>
      <c r="G38" s="169"/>
      <c r="H38" s="169"/>
      <c r="I38" s="216">
        <f t="shared" si="0"/>
        <v>569</v>
      </c>
      <c r="J38" s="217"/>
      <c r="K38" s="217"/>
      <c r="L38" s="217"/>
      <c r="M38" s="217"/>
      <c r="N38" s="217"/>
      <c r="O38" s="217"/>
      <c r="P38" s="217"/>
      <c r="Q38" s="216">
        <v>70</v>
      </c>
      <c r="R38" s="217"/>
      <c r="S38" s="217"/>
      <c r="T38" s="217"/>
      <c r="U38" s="217"/>
      <c r="V38" s="217"/>
      <c r="W38" s="216">
        <v>35</v>
      </c>
      <c r="X38" s="217"/>
      <c r="Y38" s="217"/>
      <c r="Z38" s="217"/>
      <c r="AA38" s="217"/>
      <c r="AB38" s="217"/>
      <c r="AC38" s="216">
        <v>31</v>
      </c>
      <c r="AD38" s="217"/>
      <c r="AE38" s="217"/>
      <c r="AF38" s="217"/>
      <c r="AG38" s="217"/>
      <c r="AH38" s="217"/>
      <c r="AI38" s="216">
        <v>499</v>
      </c>
      <c r="AJ38" s="217"/>
      <c r="AK38" s="217"/>
      <c r="AL38" s="217"/>
      <c r="AM38" s="217"/>
      <c r="AN38" s="220"/>
      <c r="AO38" s="216">
        <v>71</v>
      </c>
      <c r="AP38" s="217"/>
      <c r="AQ38" s="217"/>
      <c r="AR38" s="217"/>
      <c r="AS38" s="217"/>
      <c r="AT38" s="217"/>
      <c r="AU38" s="216">
        <v>428</v>
      </c>
      <c r="AV38" s="217"/>
      <c r="AW38" s="217"/>
      <c r="AX38" s="217"/>
      <c r="AY38" s="219"/>
    </row>
    <row r="39" spans="1:51" ht="15" customHeight="1">
      <c r="A39" s="168"/>
      <c r="B39" s="169"/>
      <c r="C39" s="169"/>
      <c r="D39" s="169"/>
      <c r="E39" s="169"/>
      <c r="F39" s="169" t="s">
        <v>106</v>
      </c>
      <c r="G39" s="169"/>
      <c r="H39" s="169"/>
      <c r="I39" s="216">
        <f t="shared" si="0"/>
        <v>469</v>
      </c>
      <c r="J39" s="217"/>
      <c r="K39" s="217"/>
      <c r="L39" s="217"/>
      <c r="M39" s="217"/>
      <c r="N39" s="217"/>
      <c r="O39" s="217"/>
      <c r="P39" s="217"/>
      <c r="Q39" s="216">
        <v>65</v>
      </c>
      <c r="R39" s="217"/>
      <c r="S39" s="217"/>
      <c r="T39" s="217"/>
      <c r="U39" s="217"/>
      <c r="V39" s="217"/>
      <c r="W39" s="216">
        <v>20</v>
      </c>
      <c r="X39" s="217"/>
      <c r="Y39" s="217"/>
      <c r="Z39" s="217"/>
      <c r="AA39" s="217"/>
      <c r="AB39" s="217"/>
      <c r="AC39" s="216">
        <v>18</v>
      </c>
      <c r="AD39" s="217"/>
      <c r="AE39" s="217"/>
      <c r="AF39" s="217"/>
      <c r="AG39" s="217"/>
      <c r="AH39" s="217"/>
      <c r="AI39" s="216">
        <v>404</v>
      </c>
      <c r="AJ39" s="217"/>
      <c r="AK39" s="217"/>
      <c r="AL39" s="217"/>
      <c r="AM39" s="217"/>
      <c r="AN39" s="220"/>
      <c r="AO39" s="216">
        <v>75</v>
      </c>
      <c r="AP39" s="217"/>
      <c r="AQ39" s="217"/>
      <c r="AR39" s="217"/>
      <c r="AS39" s="217"/>
      <c r="AT39" s="217"/>
      <c r="AU39" s="216">
        <v>329</v>
      </c>
      <c r="AV39" s="217"/>
      <c r="AW39" s="217"/>
      <c r="AX39" s="217"/>
      <c r="AY39" s="219"/>
    </row>
    <row r="40" spans="1:51" ht="15" customHeight="1">
      <c r="A40" s="168" t="s">
        <v>92</v>
      </c>
      <c r="B40" s="169"/>
      <c r="C40" s="169"/>
      <c r="D40" s="169"/>
      <c r="E40" s="169"/>
      <c r="F40" s="169" t="s">
        <v>105</v>
      </c>
      <c r="G40" s="169"/>
      <c r="H40" s="169"/>
      <c r="I40" s="216">
        <f t="shared" si="0"/>
        <v>326</v>
      </c>
      <c r="J40" s="217"/>
      <c r="K40" s="217"/>
      <c r="L40" s="217"/>
      <c r="M40" s="217"/>
      <c r="N40" s="217"/>
      <c r="O40" s="217"/>
      <c r="P40" s="217"/>
      <c r="Q40" s="216">
        <v>40</v>
      </c>
      <c r="R40" s="217"/>
      <c r="S40" s="217"/>
      <c r="T40" s="217"/>
      <c r="U40" s="217"/>
      <c r="V40" s="217"/>
      <c r="W40" s="216">
        <v>21</v>
      </c>
      <c r="X40" s="217"/>
      <c r="Y40" s="217"/>
      <c r="Z40" s="217"/>
      <c r="AA40" s="217"/>
      <c r="AB40" s="217"/>
      <c r="AC40" s="216">
        <v>15</v>
      </c>
      <c r="AD40" s="217"/>
      <c r="AE40" s="217"/>
      <c r="AF40" s="217"/>
      <c r="AG40" s="217"/>
      <c r="AH40" s="217"/>
      <c r="AI40" s="216">
        <v>286</v>
      </c>
      <c r="AJ40" s="217"/>
      <c r="AK40" s="217"/>
      <c r="AL40" s="217"/>
      <c r="AM40" s="217"/>
      <c r="AN40" s="220"/>
      <c r="AO40" s="216">
        <v>36</v>
      </c>
      <c r="AP40" s="217"/>
      <c r="AQ40" s="217"/>
      <c r="AR40" s="217"/>
      <c r="AS40" s="217"/>
      <c r="AT40" s="217"/>
      <c r="AU40" s="216">
        <v>250</v>
      </c>
      <c r="AV40" s="217"/>
      <c r="AW40" s="217"/>
      <c r="AX40" s="217"/>
      <c r="AY40" s="219"/>
    </row>
    <row r="41" spans="1:51" ht="15" customHeight="1">
      <c r="A41" s="168"/>
      <c r="B41" s="169"/>
      <c r="C41" s="169"/>
      <c r="D41" s="169"/>
      <c r="E41" s="169"/>
      <c r="F41" s="169" t="s">
        <v>106</v>
      </c>
      <c r="G41" s="169"/>
      <c r="H41" s="169"/>
      <c r="I41" s="216">
        <f t="shared" si="0"/>
        <v>260</v>
      </c>
      <c r="J41" s="217"/>
      <c r="K41" s="217"/>
      <c r="L41" s="217"/>
      <c r="M41" s="217"/>
      <c r="N41" s="217"/>
      <c r="O41" s="217"/>
      <c r="P41" s="217"/>
      <c r="Q41" s="216">
        <v>33</v>
      </c>
      <c r="R41" s="217"/>
      <c r="S41" s="217"/>
      <c r="T41" s="217"/>
      <c r="U41" s="217"/>
      <c r="V41" s="217"/>
      <c r="W41" s="216">
        <v>15</v>
      </c>
      <c r="X41" s="217"/>
      <c r="Y41" s="217"/>
      <c r="Z41" s="217"/>
      <c r="AA41" s="217"/>
      <c r="AB41" s="217"/>
      <c r="AC41" s="216">
        <v>9</v>
      </c>
      <c r="AD41" s="217"/>
      <c r="AE41" s="217"/>
      <c r="AF41" s="217"/>
      <c r="AG41" s="217"/>
      <c r="AH41" s="217"/>
      <c r="AI41" s="216">
        <v>227</v>
      </c>
      <c r="AJ41" s="217"/>
      <c r="AK41" s="217"/>
      <c r="AL41" s="217"/>
      <c r="AM41" s="217"/>
      <c r="AN41" s="220"/>
      <c r="AO41" s="216">
        <v>46</v>
      </c>
      <c r="AP41" s="217"/>
      <c r="AQ41" s="217"/>
      <c r="AR41" s="217"/>
      <c r="AS41" s="217"/>
      <c r="AT41" s="217"/>
      <c r="AU41" s="216">
        <v>181</v>
      </c>
      <c r="AV41" s="217"/>
      <c r="AW41" s="217"/>
      <c r="AX41" s="217"/>
      <c r="AY41" s="219"/>
    </row>
    <row r="42" spans="1:51" ht="15" customHeight="1">
      <c r="A42" s="168" t="s">
        <v>93</v>
      </c>
      <c r="B42" s="169"/>
      <c r="C42" s="169"/>
      <c r="D42" s="169"/>
      <c r="E42" s="169"/>
      <c r="F42" s="169" t="s">
        <v>105</v>
      </c>
      <c r="G42" s="169"/>
      <c r="H42" s="169"/>
      <c r="I42" s="216">
        <f t="shared" si="0"/>
        <v>53</v>
      </c>
      <c r="J42" s="217"/>
      <c r="K42" s="217"/>
      <c r="L42" s="217"/>
      <c r="M42" s="217"/>
      <c r="N42" s="217"/>
      <c r="O42" s="217"/>
      <c r="P42" s="217"/>
      <c r="Q42" s="216">
        <v>7</v>
      </c>
      <c r="R42" s="217"/>
      <c r="S42" s="217"/>
      <c r="T42" s="217"/>
      <c r="U42" s="217"/>
      <c r="V42" s="217"/>
      <c r="W42" s="216">
        <v>3</v>
      </c>
      <c r="X42" s="217"/>
      <c r="Y42" s="217"/>
      <c r="Z42" s="217"/>
      <c r="AA42" s="217"/>
      <c r="AB42" s="217"/>
      <c r="AC42" s="216">
        <v>2</v>
      </c>
      <c r="AD42" s="217"/>
      <c r="AE42" s="217"/>
      <c r="AF42" s="217"/>
      <c r="AG42" s="217"/>
      <c r="AH42" s="217"/>
      <c r="AI42" s="216">
        <v>46</v>
      </c>
      <c r="AJ42" s="217"/>
      <c r="AK42" s="217"/>
      <c r="AL42" s="217"/>
      <c r="AM42" s="217"/>
      <c r="AN42" s="220"/>
      <c r="AO42" s="216">
        <v>7</v>
      </c>
      <c r="AP42" s="217"/>
      <c r="AQ42" s="217"/>
      <c r="AR42" s="217"/>
      <c r="AS42" s="217"/>
      <c r="AT42" s="217"/>
      <c r="AU42" s="216">
        <v>39</v>
      </c>
      <c r="AV42" s="217"/>
      <c r="AW42" s="217"/>
      <c r="AX42" s="217"/>
      <c r="AY42" s="219"/>
    </row>
    <row r="43" spans="1:51" ht="15" customHeight="1">
      <c r="A43" s="168"/>
      <c r="B43" s="169"/>
      <c r="C43" s="169"/>
      <c r="D43" s="169"/>
      <c r="E43" s="169"/>
      <c r="F43" s="169" t="s">
        <v>106</v>
      </c>
      <c r="G43" s="169"/>
      <c r="H43" s="169"/>
      <c r="I43" s="216">
        <f t="shared" si="0"/>
        <v>37</v>
      </c>
      <c r="J43" s="217"/>
      <c r="K43" s="217"/>
      <c r="L43" s="217"/>
      <c r="M43" s="217"/>
      <c r="N43" s="217"/>
      <c r="O43" s="217"/>
      <c r="P43" s="220"/>
      <c r="Q43" s="216">
        <v>10</v>
      </c>
      <c r="R43" s="217"/>
      <c r="S43" s="217"/>
      <c r="T43" s="217"/>
      <c r="U43" s="217"/>
      <c r="V43" s="217"/>
      <c r="W43" s="216">
        <v>4</v>
      </c>
      <c r="X43" s="217"/>
      <c r="Y43" s="217"/>
      <c r="Z43" s="217"/>
      <c r="AA43" s="217"/>
      <c r="AB43" s="217"/>
      <c r="AC43" s="216">
        <v>3</v>
      </c>
      <c r="AD43" s="217"/>
      <c r="AE43" s="217"/>
      <c r="AF43" s="217"/>
      <c r="AG43" s="217"/>
      <c r="AH43" s="217"/>
      <c r="AI43" s="216">
        <v>27</v>
      </c>
      <c r="AJ43" s="217"/>
      <c r="AK43" s="217"/>
      <c r="AL43" s="217"/>
      <c r="AM43" s="217"/>
      <c r="AN43" s="220"/>
      <c r="AO43" s="216">
        <v>5</v>
      </c>
      <c r="AP43" s="217"/>
      <c r="AQ43" s="217"/>
      <c r="AR43" s="217"/>
      <c r="AS43" s="217"/>
      <c r="AT43" s="217"/>
      <c r="AU43" s="216">
        <v>22</v>
      </c>
      <c r="AV43" s="217"/>
      <c r="AW43" s="217"/>
      <c r="AX43" s="217"/>
      <c r="AY43" s="219"/>
    </row>
    <row r="44" spans="1:51" ht="15" customHeight="1">
      <c r="A44" s="168" t="s">
        <v>94</v>
      </c>
      <c r="B44" s="169"/>
      <c r="C44" s="169"/>
      <c r="D44" s="169"/>
      <c r="E44" s="169"/>
      <c r="F44" s="169" t="s">
        <v>105</v>
      </c>
      <c r="G44" s="169"/>
      <c r="H44" s="169"/>
      <c r="I44" s="216">
        <f t="shared" si="0"/>
        <v>238</v>
      </c>
      <c r="J44" s="217"/>
      <c r="K44" s="217"/>
      <c r="L44" s="217"/>
      <c r="M44" s="217"/>
      <c r="N44" s="217"/>
      <c r="O44" s="217"/>
      <c r="P44" s="217"/>
      <c r="Q44" s="216">
        <v>26</v>
      </c>
      <c r="R44" s="217"/>
      <c r="S44" s="217"/>
      <c r="T44" s="217"/>
      <c r="U44" s="217"/>
      <c r="V44" s="217"/>
      <c r="W44" s="216">
        <v>11</v>
      </c>
      <c r="X44" s="217"/>
      <c r="Y44" s="217"/>
      <c r="Z44" s="217"/>
      <c r="AA44" s="217"/>
      <c r="AB44" s="217"/>
      <c r="AC44" s="216">
        <v>3</v>
      </c>
      <c r="AD44" s="217"/>
      <c r="AE44" s="217"/>
      <c r="AF44" s="217"/>
      <c r="AG44" s="217"/>
      <c r="AH44" s="217"/>
      <c r="AI44" s="216">
        <v>212</v>
      </c>
      <c r="AJ44" s="217"/>
      <c r="AK44" s="217"/>
      <c r="AL44" s="217"/>
      <c r="AM44" s="217"/>
      <c r="AN44" s="220"/>
      <c r="AO44" s="216">
        <v>39</v>
      </c>
      <c r="AP44" s="217"/>
      <c r="AQ44" s="217"/>
      <c r="AR44" s="217"/>
      <c r="AS44" s="217"/>
      <c r="AT44" s="217"/>
      <c r="AU44" s="216">
        <v>173</v>
      </c>
      <c r="AV44" s="217"/>
      <c r="AW44" s="217"/>
      <c r="AX44" s="217"/>
      <c r="AY44" s="219"/>
    </row>
    <row r="45" spans="1:51" ht="15" customHeight="1">
      <c r="A45" s="168"/>
      <c r="B45" s="169"/>
      <c r="C45" s="169"/>
      <c r="D45" s="169"/>
      <c r="E45" s="169"/>
      <c r="F45" s="169" t="s">
        <v>106</v>
      </c>
      <c r="G45" s="169"/>
      <c r="H45" s="169"/>
      <c r="I45" s="216">
        <f t="shared" si="0"/>
        <v>197</v>
      </c>
      <c r="J45" s="217"/>
      <c r="K45" s="217"/>
      <c r="L45" s="217"/>
      <c r="M45" s="217"/>
      <c r="N45" s="217"/>
      <c r="O45" s="217"/>
      <c r="P45" s="217"/>
      <c r="Q45" s="216">
        <v>22</v>
      </c>
      <c r="R45" s="217"/>
      <c r="S45" s="217"/>
      <c r="T45" s="217"/>
      <c r="U45" s="217"/>
      <c r="V45" s="217"/>
      <c r="W45" s="216">
        <v>15</v>
      </c>
      <c r="X45" s="217"/>
      <c r="Y45" s="217"/>
      <c r="Z45" s="217"/>
      <c r="AA45" s="217"/>
      <c r="AB45" s="217"/>
      <c r="AC45" s="216">
        <v>7</v>
      </c>
      <c r="AD45" s="217"/>
      <c r="AE45" s="217"/>
      <c r="AF45" s="217"/>
      <c r="AG45" s="217"/>
      <c r="AH45" s="217"/>
      <c r="AI45" s="216">
        <v>175</v>
      </c>
      <c r="AJ45" s="217"/>
      <c r="AK45" s="217"/>
      <c r="AL45" s="217"/>
      <c r="AM45" s="217"/>
      <c r="AN45" s="220"/>
      <c r="AO45" s="216">
        <v>48</v>
      </c>
      <c r="AP45" s="217"/>
      <c r="AQ45" s="217"/>
      <c r="AR45" s="217"/>
      <c r="AS45" s="217"/>
      <c r="AT45" s="217"/>
      <c r="AU45" s="216">
        <v>127</v>
      </c>
      <c r="AV45" s="217"/>
      <c r="AW45" s="217"/>
      <c r="AX45" s="217"/>
      <c r="AY45" s="219"/>
    </row>
    <row r="46" spans="1:51" ht="15" customHeight="1">
      <c r="A46" s="168" t="s">
        <v>95</v>
      </c>
      <c r="B46" s="169"/>
      <c r="C46" s="169"/>
      <c r="D46" s="169"/>
      <c r="E46" s="169"/>
      <c r="F46" s="169" t="s">
        <v>105</v>
      </c>
      <c r="G46" s="169"/>
      <c r="H46" s="169"/>
      <c r="I46" s="216">
        <f t="shared" si="0"/>
        <v>563</v>
      </c>
      <c r="J46" s="217"/>
      <c r="K46" s="217"/>
      <c r="L46" s="217"/>
      <c r="M46" s="217"/>
      <c r="N46" s="217"/>
      <c r="O46" s="217"/>
      <c r="P46" s="217"/>
      <c r="Q46" s="216">
        <v>76</v>
      </c>
      <c r="R46" s="217"/>
      <c r="S46" s="217"/>
      <c r="T46" s="217"/>
      <c r="U46" s="217"/>
      <c r="V46" s="217"/>
      <c r="W46" s="216">
        <v>44</v>
      </c>
      <c r="X46" s="217"/>
      <c r="Y46" s="217"/>
      <c r="Z46" s="217"/>
      <c r="AA46" s="217"/>
      <c r="AB46" s="217"/>
      <c r="AC46" s="216">
        <v>29</v>
      </c>
      <c r="AD46" s="217"/>
      <c r="AE46" s="217"/>
      <c r="AF46" s="217"/>
      <c r="AG46" s="217"/>
      <c r="AH46" s="217"/>
      <c r="AI46" s="216">
        <v>487</v>
      </c>
      <c r="AJ46" s="217"/>
      <c r="AK46" s="217"/>
      <c r="AL46" s="217"/>
      <c r="AM46" s="217"/>
      <c r="AN46" s="220"/>
      <c r="AO46" s="216">
        <v>112</v>
      </c>
      <c r="AP46" s="217"/>
      <c r="AQ46" s="217"/>
      <c r="AR46" s="217"/>
      <c r="AS46" s="217"/>
      <c r="AT46" s="217"/>
      <c r="AU46" s="216">
        <v>375</v>
      </c>
      <c r="AV46" s="217"/>
      <c r="AW46" s="217"/>
      <c r="AX46" s="217"/>
      <c r="AY46" s="219"/>
    </row>
    <row r="47" spans="1:51" ht="15" customHeight="1">
      <c r="A47" s="168"/>
      <c r="B47" s="169"/>
      <c r="C47" s="169"/>
      <c r="D47" s="169"/>
      <c r="E47" s="169"/>
      <c r="F47" s="169" t="s">
        <v>106</v>
      </c>
      <c r="G47" s="169"/>
      <c r="H47" s="169"/>
      <c r="I47" s="216">
        <f t="shared" si="0"/>
        <v>466</v>
      </c>
      <c r="J47" s="217"/>
      <c r="K47" s="217"/>
      <c r="L47" s="217"/>
      <c r="M47" s="217"/>
      <c r="N47" s="217"/>
      <c r="O47" s="217"/>
      <c r="P47" s="217"/>
      <c r="Q47" s="216">
        <v>83</v>
      </c>
      <c r="R47" s="217"/>
      <c r="S47" s="217"/>
      <c r="T47" s="217"/>
      <c r="U47" s="217"/>
      <c r="V47" s="217"/>
      <c r="W47" s="216">
        <v>35</v>
      </c>
      <c r="X47" s="217"/>
      <c r="Y47" s="217"/>
      <c r="Z47" s="217"/>
      <c r="AA47" s="217"/>
      <c r="AB47" s="217"/>
      <c r="AC47" s="216">
        <v>25</v>
      </c>
      <c r="AD47" s="217"/>
      <c r="AE47" s="217"/>
      <c r="AF47" s="217"/>
      <c r="AG47" s="217"/>
      <c r="AH47" s="217"/>
      <c r="AI47" s="216">
        <v>383</v>
      </c>
      <c r="AJ47" s="217"/>
      <c r="AK47" s="217"/>
      <c r="AL47" s="217"/>
      <c r="AM47" s="217"/>
      <c r="AN47" s="220"/>
      <c r="AO47" s="216">
        <v>95</v>
      </c>
      <c r="AP47" s="217"/>
      <c r="AQ47" s="217"/>
      <c r="AR47" s="217"/>
      <c r="AS47" s="217"/>
      <c r="AT47" s="217"/>
      <c r="AU47" s="216">
        <v>288</v>
      </c>
      <c r="AV47" s="217"/>
      <c r="AW47" s="217"/>
      <c r="AX47" s="217"/>
      <c r="AY47" s="219"/>
    </row>
    <row r="48" spans="1:51" ht="15" customHeight="1">
      <c r="A48" s="168" t="s">
        <v>96</v>
      </c>
      <c r="B48" s="169"/>
      <c r="C48" s="169"/>
      <c r="D48" s="169"/>
      <c r="E48" s="169"/>
      <c r="F48" s="169" t="s">
        <v>105</v>
      </c>
      <c r="G48" s="169"/>
      <c r="H48" s="169"/>
      <c r="I48" s="216">
        <f t="shared" si="0"/>
        <v>286</v>
      </c>
      <c r="J48" s="217"/>
      <c r="K48" s="217"/>
      <c r="L48" s="217"/>
      <c r="M48" s="217"/>
      <c r="N48" s="217"/>
      <c r="O48" s="217"/>
      <c r="P48" s="217"/>
      <c r="Q48" s="216">
        <v>52</v>
      </c>
      <c r="R48" s="217"/>
      <c r="S48" s="217"/>
      <c r="T48" s="217"/>
      <c r="U48" s="217"/>
      <c r="V48" s="217"/>
      <c r="W48" s="216">
        <v>34</v>
      </c>
      <c r="X48" s="217"/>
      <c r="Y48" s="217"/>
      <c r="Z48" s="217"/>
      <c r="AA48" s="217"/>
      <c r="AB48" s="217"/>
      <c r="AC48" s="216">
        <v>31</v>
      </c>
      <c r="AD48" s="217"/>
      <c r="AE48" s="217"/>
      <c r="AF48" s="217"/>
      <c r="AG48" s="217"/>
      <c r="AH48" s="217"/>
      <c r="AI48" s="216">
        <v>234</v>
      </c>
      <c r="AJ48" s="217"/>
      <c r="AK48" s="217"/>
      <c r="AL48" s="217"/>
      <c r="AM48" s="217"/>
      <c r="AN48" s="220"/>
      <c r="AO48" s="216">
        <v>79</v>
      </c>
      <c r="AP48" s="217"/>
      <c r="AQ48" s="217"/>
      <c r="AR48" s="217"/>
      <c r="AS48" s="217"/>
      <c r="AT48" s="217"/>
      <c r="AU48" s="216">
        <v>155</v>
      </c>
      <c r="AV48" s="217"/>
      <c r="AW48" s="217"/>
      <c r="AX48" s="217"/>
      <c r="AY48" s="219"/>
    </row>
    <row r="49" spans="1:51" ht="15" customHeight="1">
      <c r="A49" s="168"/>
      <c r="B49" s="169"/>
      <c r="C49" s="169"/>
      <c r="D49" s="169"/>
      <c r="E49" s="169"/>
      <c r="F49" s="169" t="s">
        <v>106</v>
      </c>
      <c r="G49" s="169"/>
      <c r="H49" s="169"/>
      <c r="I49" s="216">
        <f t="shared" si="0"/>
        <v>247</v>
      </c>
      <c r="J49" s="217"/>
      <c r="K49" s="217"/>
      <c r="L49" s="217"/>
      <c r="M49" s="217"/>
      <c r="N49" s="217"/>
      <c r="O49" s="217"/>
      <c r="P49" s="217"/>
      <c r="Q49" s="216">
        <v>49</v>
      </c>
      <c r="R49" s="217"/>
      <c r="S49" s="217"/>
      <c r="T49" s="217"/>
      <c r="U49" s="217"/>
      <c r="V49" s="217"/>
      <c r="W49" s="216">
        <v>28</v>
      </c>
      <c r="X49" s="217"/>
      <c r="Y49" s="217"/>
      <c r="Z49" s="217"/>
      <c r="AA49" s="217"/>
      <c r="AB49" s="217"/>
      <c r="AC49" s="216">
        <v>26</v>
      </c>
      <c r="AD49" s="217"/>
      <c r="AE49" s="217"/>
      <c r="AF49" s="217"/>
      <c r="AG49" s="217"/>
      <c r="AH49" s="217"/>
      <c r="AI49" s="216">
        <v>198</v>
      </c>
      <c r="AJ49" s="217"/>
      <c r="AK49" s="217"/>
      <c r="AL49" s="217"/>
      <c r="AM49" s="217"/>
      <c r="AN49" s="220"/>
      <c r="AO49" s="216">
        <v>75</v>
      </c>
      <c r="AP49" s="217"/>
      <c r="AQ49" s="217"/>
      <c r="AR49" s="217"/>
      <c r="AS49" s="217"/>
      <c r="AT49" s="217"/>
      <c r="AU49" s="216">
        <v>123</v>
      </c>
      <c r="AV49" s="217"/>
      <c r="AW49" s="217"/>
      <c r="AX49" s="217"/>
      <c r="AY49" s="219"/>
    </row>
    <row r="50" spans="1:51" ht="15" customHeight="1">
      <c r="A50" s="168" t="s">
        <v>97</v>
      </c>
      <c r="B50" s="169"/>
      <c r="C50" s="169"/>
      <c r="D50" s="169"/>
      <c r="E50" s="169"/>
      <c r="F50" s="223" t="s">
        <v>105</v>
      </c>
      <c r="G50" s="223"/>
      <c r="H50" s="223"/>
      <c r="I50" s="216">
        <f t="shared" si="0"/>
        <v>415</v>
      </c>
      <c r="J50" s="217"/>
      <c r="K50" s="217"/>
      <c r="L50" s="217"/>
      <c r="M50" s="217"/>
      <c r="N50" s="217"/>
      <c r="O50" s="217"/>
      <c r="P50" s="217"/>
      <c r="Q50" s="216">
        <v>61</v>
      </c>
      <c r="R50" s="217"/>
      <c r="S50" s="217"/>
      <c r="T50" s="217"/>
      <c r="U50" s="217"/>
      <c r="V50" s="217"/>
      <c r="W50" s="216">
        <v>30</v>
      </c>
      <c r="X50" s="217"/>
      <c r="Y50" s="217"/>
      <c r="Z50" s="217"/>
      <c r="AA50" s="217"/>
      <c r="AB50" s="217"/>
      <c r="AC50" s="216">
        <v>25</v>
      </c>
      <c r="AD50" s="217"/>
      <c r="AE50" s="217"/>
      <c r="AF50" s="217"/>
      <c r="AG50" s="217"/>
      <c r="AH50" s="217"/>
      <c r="AI50" s="216">
        <v>354</v>
      </c>
      <c r="AJ50" s="217"/>
      <c r="AK50" s="217"/>
      <c r="AL50" s="217"/>
      <c r="AM50" s="217"/>
      <c r="AN50" s="220"/>
      <c r="AO50" s="216">
        <v>79</v>
      </c>
      <c r="AP50" s="217"/>
      <c r="AQ50" s="217"/>
      <c r="AR50" s="217"/>
      <c r="AS50" s="217"/>
      <c r="AT50" s="217"/>
      <c r="AU50" s="216">
        <v>275</v>
      </c>
      <c r="AV50" s="217"/>
      <c r="AW50" s="217"/>
      <c r="AX50" s="217"/>
      <c r="AY50" s="219"/>
    </row>
    <row r="51" spans="1:51" ht="15" customHeight="1" thickBot="1">
      <c r="A51" s="192"/>
      <c r="B51" s="193"/>
      <c r="C51" s="193"/>
      <c r="D51" s="193"/>
      <c r="E51" s="193"/>
      <c r="F51" s="193" t="s">
        <v>106</v>
      </c>
      <c r="G51" s="193"/>
      <c r="H51" s="193"/>
      <c r="I51" s="224">
        <f t="shared" si="0"/>
        <v>316</v>
      </c>
      <c r="J51" s="225"/>
      <c r="K51" s="225"/>
      <c r="L51" s="225"/>
      <c r="M51" s="225"/>
      <c r="N51" s="225"/>
      <c r="O51" s="225"/>
      <c r="P51" s="225"/>
      <c r="Q51" s="224">
        <v>59</v>
      </c>
      <c r="R51" s="225"/>
      <c r="S51" s="225"/>
      <c r="T51" s="225"/>
      <c r="U51" s="225"/>
      <c r="V51" s="225"/>
      <c r="W51" s="224">
        <v>29</v>
      </c>
      <c r="X51" s="225"/>
      <c r="Y51" s="225"/>
      <c r="Z51" s="225"/>
      <c r="AA51" s="225"/>
      <c r="AB51" s="225"/>
      <c r="AC51" s="224">
        <v>22</v>
      </c>
      <c r="AD51" s="225"/>
      <c r="AE51" s="225"/>
      <c r="AF51" s="225"/>
      <c r="AG51" s="225"/>
      <c r="AH51" s="225"/>
      <c r="AI51" s="224">
        <v>257</v>
      </c>
      <c r="AJ51" s="225"/>
      <c r="AK51" s="225"/>
      <c r="AL51" s="225"/>
      <c r="AM51" s="225"/>
      <c r="AN51" s="226"/>
      <c r="AO51" s="224">
        <v>56</v>
      </c>
      <c r="AP51" s="225"/>
      <c r="AQ51" s="225"/>
      <c r="AR51" s="225"/>
      <c r="AS51" s="225"/>
      <c r="AT51" s="225"/>
      <c r="AU51" s="224">
        <v>201</v>
      </c>
      <c r="AV51" s="225"/>
      <c r="AW51" s="225"/>
      <c r="AX51" s="225"/>
      <c r="AY51" s="227"/>
    </row>
    <row r="52" ht="13.5">
      <c r="CG52" s="203"/>
    </row>
    <row r="54" spans="37:86" ht="13.5">
      <c r="AK54" s="228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228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</row>
    <row r="55" spans="37:86" ht="13.5">
      <c r="AK55" s="171"/>
      <c r="AL55" s="171"/>
      <c r="AM55" s="171"/>
      <c r="AN55" s="171"/>
      <c r="AO55" s="171"/>
      <c r="AP55" s="171"/>
      <c r="AQ55" s="171"/>
      <c r="AR55" s="228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228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</row>
    <row r="56" spans="37:86" ht="13.5"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229"/>
      <c r="BV56" s="230"/>
      <c r="BW56" s="230"/>
      <c r="BX56" s="230"/>
      <c r="BY56" s="230"/>
      <c r="BZ56" s="230"/>
      <c r="CA56" s="230"/>
      <c r="CB56" s="171"/>
      <c r="CC56" s="171"/>
      <c r="CD56" s="171"/>
      <c r="CE56" s="171"/>
      <c r="CF56" s="171"/>
      <c r="CG56" s="171"/>
      <c r="CH56" s="171"/>
    </row>
  </sheetData>
  <sheetProtection/>
  <mergeCells count="343">
    <mergeCell ref="AK54:AQ56"/>
    <mergeCell ref="AR54:AY54"/>
    <mergeCell ref="AZ54:BF56"/>
    <mergeCell ref="BG54:CH54"/>
    <mergeCell ref="AR55:AY56"/>
    <mergeCell ref="BG55:BM56"/>
    <mergeCell ref="BN55:CH55"/>
    <mergeCell ref="BN56:BT56"/>
    <mergeCell ref="BU56:CA56"/>
    <mergeCell ref="CB56:CH56"/>
    <mergeCell ref="AU50:AY50"/>
    <mergeCell ref="F51:H51"/>
    <mergeCell ref="I51:P51"/>
    <mergeCell ref="Q51:V51"/>
    <mergeCell ref="W51:AB51"/>
    <mergeCell ref="AC51:AH51"/>
    <mergeCell ref="AI51:AN51"/>
    <mergeCell ref="AO51:AT51"/>
    <mergeCell ref="AU51:AY51"/>
    <mergeCell ref="AO49:AT49"/>
    <mergeCell ref="AU49:AY49"/>
    <mergeCell ref="A50:E51"/>
    <mergeCell ref="F50:H50"/>
    <mergeCell ref="I50:P50"/>
    <mergeCell ref="Q50:V50"/>
    <mergeCell ref="W50:AB50"/>
    <mergeCell ref="AC50:AH50"/>
    <mergeCell ref="AI50:AN50"/>
    <mergeCell ref="AO50:AT50"/>
    <mergeCell ref="F49:H49"/>
    <mergeCell ref="I49:P49"/>
    <mergeCell ref="Q49:V49"/>
    <mergeCell ref="W49:AB49"/>
    <mergeCell ref="AC49:AH49"/>
    <mergeCell ref="AI49:AN49"/>
    <mergeCell ref="AU47:AY47"/>
    <mergeCell ref="A48:E49"/>
    <mergeCell ref="F48:H48"/>
    <mergeCell ref="I48:P48"/>
    <mergeCell ref="Q48:V48"/>
    <mergeCell ref="W48:AB48"/>
    <mergeCell ref="AC48:AH48"/>
    <mergeCell ref="AI48:AN48"/>
    <mergeCell ref="AO48:AT48"/>
    <mergeCell ref="AU48:AY48"/>
    <mergeCell ref="AI46:AN46"/>
    <mergeCell ref="AO46:AT46"/>
    <mergeCell ref="AU46:AY46"/>
    <mergeCell ref="F47:H47"/>
    <mergeCell ref="I47:P47"/>
    <mergeCell ref="Q47:V47"/>
    <mergeCell ref="W47:AB47"/>
    <mergeCell ref="AC47:AH47"/>
    <mergeCell ref="AI47:AN47"/>
    <mergeCell ref="AO47:AT47"/>
    <mergeCell ref="A46:E47"/>
    <mergeCell ref="F46:H46"/>
    <mergeCell ref="I46:P46"/>
    <mergeCell ref="Q46:V46"/>
    <mergeCell ref="W46:AB46"/>
    <mergeCell ref="AC46:AH46"/>
    <mergeCell ref="AU44:AY44"/>
    <mergeCell ref="F45:H45"/>
    <mergeCell ref="I45:P45"/>
    <mergeCell ref="Q45:V45"/>
    <mergeCell ref="W45:AB45"/>
    <mergeCell ref="AC45:AH45"/>
    <mergeCell ref="AI45:AN45"/>
    <mergeCell ref="AO45:AT45"/>
    <mergeCell ref="AU45:AY45"/>
    <mergeCell ref="AO43:AT43"/>
    <mergeCell ref="AU43:AY43"/>
    <mergeCell ref="A44:E45"/>
    <mergeCell ref="F44:H44"/>
    <mergeCell ref="I44:P44"/>
    <mergeCell ref="Q44:V44"/>
    <mergeCell ref="W44:AB44"/>
    <mergeCell ref="AC44:AH44"/>
    <mergeCell ref="AI44:AN44"/>
    <mergeCell ref="AO44:AT44"/>
    <mergeCell ref="F43:H43"/>
    <mergeCell ref="I43:P43"/>
    <mergeCell ref="Q43:V43"/>
    <mergeCell ref="W43:AB43"/>
    <mergeCell ref="AC43:AH43"/>
    <mergeCell ref="AI43:AN43"/>
    <mergeCell ref="AU41:AY41"/>
    <mergeCell ref="A42:E43"/>
    <mergeCell ref="F42:H42"/>
    <mergeCell ref="I42:P42"/>
    <mergeCell ref="Q42:V42"/>
    <mergeCell ref="W42:AB42"/>
    <mergeCell ref="AC42:AH42"/>
    <mergeCell ref="AI42:AN42"/>
    <mergeCell ref="AO42:AT42"/>
    <mergeCell ref="AU42:AY42"/>
    <mergeCell ref="AI40:AN40"/>
    <mergeCell ref="AO40:AT40"/>
    <mergeCell ref="AU40:AY40"/>
    <mergeCell ref="F41:H41"/>
    <mergeCell ref="I41:P41"/>
    <mergeCell ref="Q41:V41"/>
    <mergeCell ref="W41:AB41"/>
    <mergeCell ref="AC41:AH41"/>
    <mergeCell ref="AI41:AN41"/>
    <mergeCell ref="AO41:AT41"/>
    <mergeCell ref="A40:E41"/>
    <mergeCell ref="F40:H40"/>
    <mergeCell ref="I40:P40"/>
    <mergeCell ref="Q40:V40"/>
    <mergeCell ref="W40:AB40"/>
    <mergeCell ref="AC40:AH40"/>
    <mergeCell ref="AU38:AY38"/>
    <mergeCell ref="F39:H39"/>
    <mergeCell ref="I39:P39"/>
    <mergeCell ref="Q39:V39"/>
    <mergeCell ref="W39:AB39"/>
    <mergeCell ref="AC39:AH39"/>
    <mergeCell ref="AI39:AN39"/>
    <mergeCell ref="AO39:AT39"/>
    <mergeCell ref="AU39:AY39"/>
    <mergeCell ref="AO37:AT37"/>
    <mergeCell ref="AU37:AY37"/>
    <mergeCell ref="A38:E39"/>
    <mergeCell ref="F38:H38"/>
    <mergeCell ref="I38:P38"/>
    <mergeCell ref="Q38:V38"/>
    <mergeCell ref="W38:AB38"/>
    <mergeCell ref="AC38:AH38"/>
    <mergeCell ref="AI38:AN38"/>
    <mergeCell ref="AO38:AT38"/>
    <mergeCell ref="F37:H37"/>
    <mergeCell ref="I37:P37"/>
    <mergeCell ref="Q37:V37"/>
    <mergeCell ref="W37:AB37"/>
    <mergeCell ref="AC37:AH37"/>
    <mergeCell ref="AI37:AN37"/>
    <mergeCell ref="AU35:AY35"/>
    <mergeCell ref="A36:E37"/>
    <mergeCell ref="F36:H36"/>
    <mergeCell ref="I36:P36"/>
    <mergeCell ref="Q36:V36"/>
    <mergeCell ref="W36:AB36"/>
    <mergeCell ref="AC36:AH36"/>
    <mergeCell ref="AI36:AN36"/>
    <mergeCell ref="AO36:AT36"/>
    <mergeCell ref="AU36:AY36"/>
    <mergeCell ref="AI34:AN34"/>
    <mergeCell ref="AO34:AT34"/>
    <mergeCell ref="AU34:AY34"/>
    <mergeCell ref="F35:H35"/>
    <mergeCell ref="I35:P35"/>
    <mergeCell ref="Q35:V35"/>
    <mergeCell ref="W35:AB35"/>
    <mergeCell ref="AC35:AH35"/>
    <mergeCell ref="AI35:AN35"/>
    <mergeCell ref="AO35:AT35"/>
    <mergeCell ref="A34:E35"/>
    <mergeCell ref="F34:H34"/>
    <mergeCell ref="I34:P34"/>
    <mergeCell ref="Q34:V34"/>
    <mergeCell ref="W34:AB34"/>
    <mergeCell ref="AC34:AH34"/>
    <mergeCell ref="AU32:AY32"/>
    <mergeCell ref="F33:H33"/>
    <mergeCell ref="I33:P33"/>
    <mergeCell ref="Q33:V33"/>
    <mergeCell ref="W33:AB33"/>
    <mergeCell ref="AC33:AH33"/>
    <mergeCell ref="AI33:AN33"/>
    <mergeCell ref="AO33:AT33"/>
    <mergeCell ref="AU33:AY33"/>
    <mergeCell ref="AO31:AT31"/>
    <mergeCell ref="AU31:AY31"/>
    <mergeCell ref="A32:E33"/>
    <mergeCell ref="F32:H32"/>
    <mergeCell ref="I32:P32"/>
    <mergeCell ref="Q32:V32"/>
    <mergeCell ref="W32:AB32"/>
    <mergeCell ref="AC32:AH32"/>
    <mergeCell ref="AI32:AN32"/>
    <mergeCell ref="AO32:AT32"/>
    <mergeCell ref="F31:H31"/>
    <mergeCell ref="I31:P31"/>
    <mergeCell ref="Q31:V31"/>
    <mergeCell ref="W31:AB31"/>
    <mergeCell ref="AC31:AH31"/>
    <mergeCell ref="AI31:AN31"/>
    <mergeCell ref="AU29:AY29"/>
    <mergeCell ref="A30:E31"/>
    <mergeCell ref="F30:H30"/>
    <mergeCell ref="I30:P30"/>
    <mergeCell ref="Q30:V30"/>
    <mergeCell ref="W30:AB30"/>
    <mergeCell ref="AC30:AH30"/>
    <mergeCell ref="AI30:AN30"/>
    <mergeCell ref="AO30:AT30"/>
    <mergeCell ref="AU30:AY30"/>
    <mergeCell ref="AI28:AN28"/>
    <mergeCell ref="AO28:AT28"/>
    <mergeCell ref="AU28:AY28"/>
    <mergeCell ref="F29:H29"/>
    <mergeCell ref="I29:P29"/>
    <mergeCell ref="Q29:V29"/>
    <mergeCell ref="W29:AB29"/>
    <mergeCell ref="AC29:AH29"/>
    <mergeCell ref="AI29:AN29"/>
    <mergeCell ref="AO29:AT29"/>
    <mergeCell ref="A28:E29"/>
    <mergeCell ref="F28:H28"/>
    <mergeCell ref="I28:P28"/>
    <mergeCell ref="Q28:V28"/>
    <mergeCell ref="W28:AB28"/>
    <mergeCell ref="AC28:AH28"/>
    <mergeCell ref="AU26:AY26"/>
    <mergeCell ref="F27:H27"/>
    <mergeCell ref="I27:P27"/>
    <mergeCell ref="Q27:V27"/>
    <mergeCell ref="W27:AB27"/>
    <mergeCell ref="AC27:AH27"/>
    <mergeCell ref="AI27:AN27"/>
    <mergeCell ref="AO27:AT27"/>
    <mergeCell ref="AU27:AY27"/>
    <mergeCell ref="AO24:AT25"/>
    <mergeCell ref="AU24:AY25"/>
    <mergeCell ref="A26:E27"/>
    <mergeCell ref="F26:H26"/>
    <mergeCell ref="I26:P26"/>
    <mergeCell ref="Q26:V26"/>
    <mergeCell ref="W26:AB26"/>
    <mergeCell ref="AC26:AH26"/>
    <mergeCell ref="AI26:AN26"/>
    <mergeCell ref="AO26:AT26"/>
    <mergeCell ref="AS18:AY18"/>
    <mergeCell ref="AV21:AY22"/>
    <mergeCell ref="A23:H25"/>
    <mergeCell ref="I23:P25"/>
    <mergeCell ref="Q23:V25"/>
    <mergeCell ref="W23:AH23"/>
    <mergeCell ref="AI23:AN25"/>
    <mergeCell ref="AO23:AY23"/>
    <mergeCell ref="W24:AB25"/>
    <mergeCell ref="AC24:AH25"/>
    <mergeCell ref="A18:G18"/>
    <mergeCell ref="H18:P18"/>
    <mergeCell ref="Q18:W18"/>
    <mergeCell ref="X18:AD18"/>
    <mergeCell ref="AE18:AK18"/>
    <mergeCell ref="AL18:AR18"/>
    <mergeCell ref="AS16:AY16"/>
    <mergeCell ref="A17:G17"/>
    <mergeCell ref="H17:P17"/>
    <mergeCell ref="Q17:W17"/>
    <mergeCell ref="X17:AD17"/>
    <mergeCell ref="AE17:AK17"/>
    <mergeCell ref="AL17:AR17"/>
    <mergeCell ref="AS17:AY17"/>
    <mergeCell ref="A16:G16"/>
    <mergeCell ref="H16:P16"/>
    <mergeCell ref="Q16:W16"/>
    <mergeCell ref="X16:AD16"/>
    <mergeCell ref="AE16:AK16"/>
    <mergeCell ref="AL16:AR16"/>
    <mergeCell ref="AS14:AY14"/>
    <mergeCell ref="A15:G15"/>
    <mergeCell ref="H15:P15"/>
    <mergeCell ref="Q15:W15"/>
    <mergeCell ref="X15:AD15"/>
    <mergeCell ref="AE15:AK15"/>
    <mergeCell ref="AL15:AR15"/>
    <mergeCell ref="AS15:AY15"/>
    <mergeCell ref="A14:G14"/>
    <mergeCell ref="H14:P14"/>
    <mergeCell ref="Q14:W14"/>
    <mergeCell ref="X14:AD14"/>
    <mergeCell ref="AE14:AK14"/>
    <mergeCell ref="AL14:AR14"/>
    <mergeCell ref="AS12:AY12"/>
    <mergeCell ref="A13:G13"/>
    <mergeCell ref="H13:P13"/>
    <mergeCell ref="Q13:W13"/>
    <mergeCell ref="X13:AD13"/>
    <mergeCell ref="AE13:AK13"/>
    <mergeCell ref="AL13:AR13"/>
    <mergeCell ref="AS13:AY13"/>
    <mergeCell ref="A12:G12"/>
    <mergeCell ref="H12:P12"/>
    <mergeCell ref="Q12:W12"/>
    <mergeCell ref="X12:AD12"/>
    <mergeCell ref="AE12:AK12"/>
    <mergeCell ref="AL12:AR12"/>
    <mergeCell ref="AS10:AY10"/>
    <mergeCell ref="A11:G11"/>
    <mergeCell ref="H11:P11"/>
    <mergeCell ref="Q11:W11"/>
    <mergeCell ref="X11:AD11"/>
    <mergeCell ref="AE11:AK11"/>
    <mergeCell ref="AL11:AR11"/>
    <mergeCell ref="AS11:AY11"/>
    <mergeCell ref="A10:G10"/>
    <mergeCell ref="H10:P10"/>
    <mergeCell ref="Q10:W10"/>
    <mergeCell ref="X10:AD10"/>
    <mergeCell ref="AE10:AK10"/>
    <mergeCell ref="AL10:AR10"/>
    <mergeCell ref="AS8:AY8"/>
    <mergeCell ref="A9:G9"/>
    <mergeCell ref="H9:P9"/>
    <mergeCell ref="Q9:W9"/>
    <mergeCell ref="X9:AD9"/>
    <mergeCell ref="AE9:AK9"/>
    <mergeCell ref="AL9:AR9"/>
    <mergeCell ref="AS9:AY9"/>
    <mergeCell ref="A8:G8"/>
    <mergeCell ref="H8:P8"/>
    <mergeCell ref="Q8:W8"/>
    <mergeCell ref="X8:AD8"/>
    <mergeCell ref="AE8:AK8"/>
    <mergeCell ref="AL8:AR8"/>
    <mergeCell ref="AS6:AY6"/>
    <mergeCell ref="A7:G7"/>
    <mergeCell ref="H7:P7"/>
    <mergeCell ref="Q7:W7"/>
    <mergeCell ref="X7:AD7"/>
    <mergeCell ref="AE7:AK7"/>
    <mergeCell ref="AL7:AR7"/>
    <mergeCell ref="AS7:AY7"/>
    <mergeCell ref="A6:G6"/>
    <mergeCell ref="H6:P6"/>
    <mergeCell ref="Q6:W6"/>
    <mergeCell ref="X6:AD6"/>
    <mergeCell ref="AE6:AK6"/>
    <mergeCell ref="AL6:AR6"/>
    <mergeCell ref="AV1:AY2"/>
    <mergeCell ref="A3:G5"/>
    <mergeCell ref="H3:P5"/>
    <mergeCell ref="Q3:W5"/>
    <mergeCell ref="X3:AD3"/>
    <mergeCell ref="AE3:AK5"/>
    <mergeCell ref="AL3:AR3"/>
    <mergeCell ref="AS3:AY5"/>
    <mergeCell ref="X4:AD5"/>
    <mergeCell ref="AL4:AR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&amp;P+37 -</oddFooter>
  </headerFooter>
  <colBreaks count="1" manualBreakCount="1">
    <brk id="5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56"/>
  <sheetViews>
    <sheetView zoomScaleSheetLayoutView="100" workbookViewId="0" topLeftCell="A13">
      <selection activeCell="AG21" sqref="AG21"/>
    </sheetView>
  </sheetViews>
  <sheetFormatPr defaultColWidth="9.00390625" defaultRowHeight="13.5"/>
  <cols>
    <col min="1" max="45" width="1.875" style="0" customWidth="1"/>
    <col min="46" max="46" width="2.125" style="0" customWidth="1"/>
    <col min="47" max="77" width="1.625" style="0" customWidth="1"/>
  </cols>
  <sheetData>
    <row r="1" spans="1:44" ht="13.5">
      <c r="A1" s="60" t="s">
        <v>107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231" t="s">
        <v>108</v>
      </c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3"/>
    </row>
    <row r="2" spans="22:46" ht="14.25" customHeight="1" thickBot="1">
      <c r="V2" s="234"/>
      <c r="Z2" s="235" t="s">
        <v>109</v>
      </c>
      <c r="AE2" s="236" t="s">
        <v>110</v>
      </c>
      <c r="AF2" s="236"/>
      <c r="AG2" s="236"/>
      <c r="AH2" s="236"/>
      <c r="AI2" s="236"/>
      <c r="AJ2" s="236"/>
      <c r="AK2" s="236"/>
      <c r="AL2" s="236"/>
      <c r="AM2" s="236"/>
      <c r="AN2" s="236"/>
      <c r="AO2" s="237" t="s">
        <v>109</v>
      </c>
      <c r="AP2" s="237"/>
      <c r="AQ2" s="237"/>
      <c r="AR2" s="237"/>
      <c r="AS2" s="237"/>
      <c r="AT2" s="237"/>
    </row>
    <row r="3" spans="1:48" ht="6" customHeight="1" thickBot="1">
      <c r="A3" s="238" t="s">
        <v>34</v>
      </c>
      <c r="B3" s="239"/>
      <c r="C3" s="239"/>
      <c r="D3" s="239"/>
      <c r="E3" s="239"/>
      <c r="F3" s="240"/>
      <c r="G3" s="115" t="s">
        <v>111</v>
      </c>
      <c r="H3" s="136"/>
      <c r="I3" s="136"/>
      <c r="J3" s="136"/>
      <c r="K3" s="128"/>
      <c r="L3" s="103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2"/>
      <c r="AA3" s="83"/>
      <c r="AB3" s="83"/>
      <c r="AC3" s="243"/>
      <c r="AD3" s="244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6"/>
      <c r="AP3" s="246"/>
      <c r="AQ3" s="246"/>
      <c r="AR3" s="246"/>
      <c r="AS3" s="246"/>
      <c r="AT3" s="246"/>
      <c r="AU3" s="83"/>
      <c r="AV3" s="83"/>
    </row>
    <row r="4" spans="1:48" ht="13.5" customHeight="1">
      <c r="A4" s="247"/>
      <c r="B4" s="228"/>
      <c r="C4" s="228"/>
      <c r="D4" s="228"/>
      <c r="E4" s="228"/>
      <c r="F4" s="248"/>
      <c r="G4" s="249"/>
      <c r="H4" s="250"/>
      <c r="I4" s="250"/>
      <c r="J4" s="250"/>
      <c r="K4" s="104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2"/>
      <c r="AA4" s="83"/>
      <c r="AB4" s="83"/>
      <c r="AC4" s="238" t="s">
        <v>34</v>
      </c>
      <c r="AD4" s="239"/>
      <c r="AE4" s="239"/>
      <c r="AF4" s="239"/>
      <c r="AG4" s="239"/>
      <c r="AH4" s="240"/>
      <c r="AI4" s="253" t="s">
        <v>112</v>
      </c>
      <c r="AJ4" s="254"/>
      <c r="AK4" s="254"/>
      <c r="AL4" s="255"/>
      <c r="AM4" s="102" t="s">
        <v>113</v>
      </c>
      <c r="AN4" s="103"/>
      <c r="AO4" s="103"/>
      <c r="AP4" s="103"/>
      <c r="AQ4" s="103"/>
      <c r="AR4" s="103"/>
      <c r="AS4" s="103"/>
      <c r="AT4" s="167"/>
      <c r="AU4" s="83"/>
      <c r="AV4" s="83"/>
    </row>
    <row r="5" spans="1:48" ht="42" customHeight="1">
      <c r="A5" s="256"/>
      <c r="B5" s="212"/>
      <c r="C5" s="212"/>
      <c r="D5" s="212"/>
      <c r="E5" s="212"/>
      <c r="F5" s="213"/>
      <c r="G5" s="118"/>
      <c r="H5" s="118"/>
      <c r="I5" s="118"/>
      <c r="J5" s="118"/>
      <c r="K5" s="118"/>
      <c r="L5" s="116" t="s">
        <v>114</v>
      </c>
      <c r="M5" s="116"/>
      <c r="N5" s="116"/>
      <c r="O5" s="116"/>
      <c r="P5" s="116"/>
      <c r="Q5" s="116" t="s">
        <v>115</v>
      </c>
      <c r="R5" s="116"/>
      <c r="S5" s="116"/>
      <c r="T5" s="116"/>
      <c r="U5" s="116"/>
      <c r="V5" s="116" t="s">
        <v>116</v>
      </c>
      <c r="W5" s="116"/>
      <c r="X5" s="116"/>
      <c r="Y5" s="116"/>
      <c r="Z5" s="257"/>
      <c r="AA5" s="83"/>
      <c r="AB5" s="83"/>
      <c r="AC5" s="256"/>
      <c r="AD5" s="212"/>
      <c r="AE5" s="212"/>
      <c r="AF5" s="212"/>
      <c r="AG5" s="212"/>
      <c r="AH5" s="213"/>
      <c r="AI5" s="178"/>
      <c r="AJ5" s="179"/>
      <c r="AK5" s="179"/>
      <c r="AL5" s="180"/>
      <c r="AM5" s="258" t="s">
        <v>117</v>
      </c>
      <c r="AN5" s="259"/>
      <c r="AO5" s="259"/>
      <c r="AP5" s="260"/>
      <c r="AQ5" s="261" t="s">
        <v>118</v>
      </c>
      <c r="AR5" s="262"/>
      <c r="AS5" s="262"/>
      <c r="AT5" s="263"/>
      <c r="AU5" s="83"/>
      <c r="AV5" s="83"/>
    </row>
    <row r="6" spans="1:48" ht="22.5" customHeight="1">
      <c r="A6" s="264" t="s">
        <v>19</v>
      </c>
      <c r="B6" s="259"/>
      <c r="C6" s="259"/>
      <c r="D6" s="259"/>
      <c r="E6" s="259"/>
      <c r="F6" s="260"/>
      <c r="G6" s="265">
        <f>SUM(G7:K18)</f>
        <v>2460</v>
      </c>
      <c r="H6" s="265"/>
      <c r="I6" s="265"/>
      <c r="J6" s="265"/>
      <c r="K6" s="265"/>
      <c r="L6" s="265">
        <f>SUM(L7:P18)</f>
        <v>1913</v>
      </c>
      <c r="M6" s="265"/>
      <c r="N6" s="265"/>
      <c r="O6" s="265"/>
      <c r="P6" s="265"/>
      <c r="Q6" s="265">
        <f>SUM(Q7:U18)</f>
        <v>415</v>
      </c>
      <c r="R6" s="265"/>
      <c r="S6" s="265"/>
      <c r="T6" s="265"/>
      <c r="U6" s="265"/>
      <c r="V6" s="265">
        <f>SUM(V7:Z18)</f>
        <v>131</v>
      </c>
      <c r="W6" s="265"/>
      <c r="X6" s="265"/>
      <c r="Y6" s="265"/>
      <c r="Z6" s="266"/>
      <c r="AA6" s="83"/>
      <c r="AB6" s="83"/>
      <c r="AC6" s="264" t="s">
        <v>19</v>
      </c>
      <c r="AD6" s="259"/>
      <c r="AE6" s="259"/>
      <c r="AF6" s="259"/>
      <c r="AG6" s="259"/>
      <c r="AH6" s="260"/>
      <c r="AI6" s="265">
        <f>SUM(AI7:AL18)</f>
        <v>2242</v>
      </c>
      <c r="AJ6" s="265"/>
      <c r="AK6" s="265"/>
      <c r="AL6" s="265"/>
      <c r="AM6" s="265">
        <f>SUM(AM7:AP18)</f>
        <v>2137</v>
      </c>
      <c r="AN6" s="265"/>
      <c r="AO6" s="265"/>
      <c r="AP6" s="265"/>
      <c r="AQ6" s="265">
        <f>SUM(AQ7:AT18)</f>
        <v>105</v>
      </c>
      <c r="AR6" s="265"/>
      <c r="AS6" s="265"/>
      <c r="AT6" s="266"/>
      <c r="AU6" s="83"/>
      <c r="AV6" s="83"/>
    </row>
    <row r="7" spans="1:48" ht="22.5" customHeight="1">
      <c r="A7" s="264" t="s">
        <v>86</v>
      </c>
      <c r="B7" s="259"/>
      <c r="C7" s="259"/>
      <c r="D7" s="259"/>
      <c r="E7" s="259"/>
      <c r="F7" s="260"/>
      <c r="G7" s="267">
        <v>148</v>
      </c>
      <c r="H7" s="267"/>
      <c r="I7" s="267"/>
      <c r="J7" s="267"/>
      <c r="K7" s="267"/>
      <c r="L7" s="268">
        <v>107</v>
      </c>
      <c r="M7" s="268"/>
      <c r="N7" s="268"/>
      <c r="O7" s="268"/>
      <c r="P7" s="268"/>
      <c r="Q7" s="268">
        <v>25</v>
      </c>
      <c r="R7" s="268"/>
      <c r="S7" s="268"/>
      <c r="T7" s="268"/>
      <c r="U7" s="268"/>
      <c r="V7" s="268">
        <v>15</v>
      </c>
      <c r="W7" s="268"/>
      <c r="X7" s="268"/>
      <c r="Y7" s="268"/>
      <c r="Z7" s="269"/>
      <c r="AA7" s="83"/>
      <c r="AB7" s="83"/>
      <c r="AC7" s="264" t="s">
        <v>86</v>
      </c>
      <c r="AD7" s="259"/>
      <c r="AE7" s="259"/>
      <c r="AF7" s="259"/>
      <c r="AG7" s="259"/>
      <c r="AH7" s="260"/>
      <c r="AI7" s="270">
        <v>128</v>
      </c>
      <c r="AJ7" s="271"/>
      <c r="AK7" s="271"/>
      <c r="AL7" s="272"/>
      <c r="AM7" s="273">
        <v>117</v>
      </c>
      <c r="AN7" s="273"/>
      <c r="AO7" s="273"/>
      <c r="AP7" s="273"/>
      <c r="AQ7" s="273">
        <f>AI7-AM7</f>
        <v>11</v>
      </c>
      <c r="AR7" s="273"/>
      <c r="AS7" s="273"/>
      <c r="AT7" s="274"/>
      <c r="AU7" s="83"/>
      <c r="AV7" s="83"/>
    </row>
    <row r="8" spans="1:48" ht="22.5" customHeight="1">
      <c r="A8" s="264" t="s">
        <v>87</v>
      </c>
      <c r="B8" s="259"/>
      <c r="C8" s="259"/>
      <c r="D8" s="259"/>
      <c r="E8" s="259"/>
      <c r="F8" s="260"/>
      <c r="G8" s="265">
        <f aca="true" t="shared" si="0" ref="G8:G16">SUM(L8:Z8)</f>
        <v>156</v>
      </c>
      <c r="H8" s="265"/>
      <c r="I8" s="265"/>
      <c r="J8" s="265"/>
      <c r="K8" s="265"/>
      <c r="L8" s="268">
        <v>123</v>
      </c>
      <c r="M8" s="268"/>
      <c r="N8" s="268"/>
      <c r="O8" s="268"/>
      <c r="P8" s="268"/>
      <c r="Q8" s="268">
        <v>25</v>
      </c>
      <c r="R8" s="268"/>
      <c r="S8" s="268"/>
      <c r="T8" s="268"/>
      <c r="U8" s="268"/>
      <c r="V8" s="268">
        <v>8</v>
      </c>
      <c r="W8" s="268"/>
      <c r="X8" s="268"/>
      <c r="Y8" s="268"/>
      <c r="Z8" s="269"/>
      <c r="AA8" s="83"/>
      <c r="AB8" s="83"/>
      <c r="AC8" s="264" t="s">
        <v>87</v>
      </c>
      <c r="AD8" s="259"/>
      <c r="AE8" s="259"/>
      <c r="AF8" s="259"/>
      <c r="AG8" s="259"/>
      <c r="AH8" s="260"/>
      <c r="AI8" s="270">
        <v>141</v>
      </c>
      <c r="AJ8" s="271"/>
      <c r="AK8" s="271"/>
      <c r="AL8" s="272"/>
      <c r="AM8" s="273">
        <v>132</v>
      </c>
      <c r="AN8" s="273"/>
      <c r="AO8" s="273"/>
      <c r="AP8" s="273"/>
      <c r="AQ8" s="273">
        <f aca="true" t="shared" si="1" ref="AQ8:AQ15">AI8-AM8</f>
        <v>9</v>
      </c>
      <c r="AR8" s="273"/>
      <c r="AS8" s="273"/>
      <c r="AT8" s="274"/>
      <c r="AU8" s="83"/>
      <c r="AV8" s="83"/>
    </row>
    <row r="9" spans="1:48" ht="22.5" customHeight="1">
      <c r="A9" s="264" t="s">
        <v>88</v>
      </c>
      <c r="B9" s="259"/>
      <c r="C9" s="259"/>
      <c r="D9" s="259"/>
      <c r="E9" s="259"/>
      <c r="F9" s="260"/>
      <c r="G9" s="265">
        <f t="shared" si="0"/>
        <v>141</v>
      </c>
      <c r="H9" s="265"/>
      <c r="I9" s="265"/>
      <c r="J9" s="265"/>
      <c r="K9" s="265"/>
      <c r="L9" s="268">
        <v>115</v>
      </c>
      <c r="M9" s="268"/>
      <c r="N9" s="268"/>
      <c r="O9" s="268"/>
      <c r="P9" s="268"/>
      <c r="Q9" s="268">
        <v>20</v>
      </c>
      <c r="R9" s="268"/>
      <c r="S9" s="268"/>
      <c r="T9" s="268"/>
      <c r="U9" s="268"/>
      <c r="V9" s="268">
        <v>6</v>
      </c>
      <c r="W9" s="268"/>
      <c r="X9" s="268"/>
      <c r="Y9" s="268"/>
      <c r="Z9" s="269"/>
      <c r="AA9" s="83"/>
      <c r="AB9" s="83"/>
      <c r="AC9" s="264" t="s">
        <v>88</v>
      </c>
      <c r="AD9" s="259"/>
      <c r="AE9" s="259"/>
      <c r="AF9" s="259"/>
      <c r="AG9" s="259"/>
      <c r="AH9" s="260"/>
      <c r="AI9" s="270">
        <v>133</v>
      </c>
      <c r="AJ9" s="271"/>
      <c r="AK9" s="271"/>
      <c r="AL9" s="272"/>
      <c r="AM9" s="273">
        <v>131</v>
      </c>
      <c r="AN9" s="273"/>
      <c r="AO9" s="273"/>
      <c r="AP9" s="273"/>
      <c r="AQ9" s="273">
        <f t="shared" si="1"/>
        <v>2</v>
      </c>
      <c r="AR9" s="273"/>
      <c r="AS9" s="273"/>
      <c r="AT9" s="274"/>
      <c r="AU9" s="83"/>
      <c r="AV9" s="83"/>
    </row>
    <row r="10" spans="1:48" ht="22.5" customHeight="1">
      <c r="A10" s="264" t="s">
        <v>89</v>
      </c>
      <c r="B10" s="259"/>
      <c r="C10" s="259"/>
      <c r="D10" s="259"/>
      <c r="E10" s="259"/>
      <c r="F10" s="260"/>
      <c r="G10" s="265">
        <f t="shared" si="0"/>
        <v>42</v>
      </c>
      <c r="H10" s="265"/>
      <c r="I10" s="265"/>
      <c r="J10" s="265"/>
      <c r="K10" s="265"/>
      <c r="L10" s="268">
        <v>36</v>
      </c>
      <c r="M10" s="268"/>
      <c r="N10" s="268"/>
      <c r="O10" s="268"/>
      <c r="P10" s="268"/>
      <c r="Q10" s="268">
        <v>5</v>
      </c>
      <c r="R10" s="268"/>
      <c r="S10" s="268"/>
      <c r="T10" s="268"/>
      <c r="U10" s="268"/>
      <c r="V10" s="268">
        <v>1</v>
      </c>
      <c r="W10" s="268"/>
      <c r="X10" s="268"/>
      <c r="Y10" s="268"/>
      <c r="Z10" s="269"/>
      <c r="AA10" s="83"/>
      <c r="AB10" s="83"/>
      <c r="AC10" s="264" t="s">
        <v>89</v>
      </c>
      <c r="AD10" s="259"/>
      <c r="AE10" s="259"/>
      <c r="AF10" s="259"/>
      <c r="AG10" s="259"/>
      <c r="AH10" s="260"/>
      <c r="AI10" s="270">
        <v>40</v>
      </c>
      <c r="AJ10" s="271"/>
      <c r="AK10" s="271"/>
      <c r="AL10" s="272"/>
      <c r="AM10" s="273">
        <v>34</v>
      </c>
      <c r="AN10" s="273"/>
      <c r="AO10" s="273"/>
      <c r="AP10" s="273"/>
      <c r="AQ10" s="273">
        <f t="shared" si="1"/>
        <v>6</v>
      </c>
      <c r="AR10" s="273"/>
      <c r="AS10" s="273"/>
      <c r="AT10" s="274"/>
      <c r="AU10" s="83"/>
      <c r="AV10" s="83"/>
    </row>
    <row r="11" spans="1:48" ht="22.5" customHeight="1">
      <c r="A11" s="264" t="s">
        <v>90</v>
      </c>
      <c r="B11" s="259"/>
      <c r="C11" s="259"/>
      <c r="D11" s="259"/>
      <c r="E11" s="259"/>
      <c r="F11" s="260"/>
      <c r="G11" s="265">
        <f t="shared" si="0"/>
        <v>32</v>
      </c>
      <c r="H11" s="265"/>
      <c r="I11" s="265"/>
      <c r="J11" s="265"/>
      <c r="K11" s="265"/>
      <c r="L11" s="268">
        <v>31</v>
      </c>
      <c r="M11" s="268"/>
      <c r="N11" s="268"/>
      <c r="O11" s="268"/>
      <c r="P11" s="268"/>
      <c r="Q11" s="268">
        <v>1</v>
      </c>
      <c r="R11" s="268"/>
      <c r="S11" s="268"/>
      <c r="T11" s="268"/>
      <c r="U11" s="268"/>
      <c r="V11" s="268">
        <v>0</v>
      </c>
      <c r="W11" s="268"/>
      <c r="X11" s="268"/>
      <c r="Y11" s="268"/>
      <c r="Z11" s="269"/>
      <c r="AA11" s="83"/>
      <c r="AB11" s="83"/>
      <c r="AC11" s="264" t="s">
        <v>90</v>
      </c>
      <c r="AD11" s="259"/>
      <c r="AE11" s="259"/>
      <c r="AF11" s="259"/>
      <c r="AG11" s="259"/>
      <c r="AH11" s="260"/>
      <c r="AI11" s="270">
        <v>32</v>
      </c>
      <c r="AJ11" s="271"/>
      <c r="AK11" s="271"/>
      <c r="AL11" s="272"/>
      <c r="AM11" s="273">
        <v>32</v>
      </c>
      <c r="AN11" s="273"/>
      <c r="AO11" s="273"/>
      <c r="AP11" s="273"/>
      <c r="AQ11" s="273">
        <f t="shared" si="1"/>
        <v>0</v>
      </c>
      <c r="AR11" s="273"/>
      <c r="AS11" s="273"/>
      <c r="AT11" s="274"/>
      <c r="AU11" s="83"/>
      <c r="AV11" s="83"/>
    </row>
    <row r="12" spans="1:48" ht="22.5" customHeight="1">
      <c r="A12" s="264" t="s">
        <v>91</v>
      </c>
      <c r="B12" s="259"/>
      <c r="C12" s="259"/>
      <c r="D12" s="259"/>
      <c r="E12" s="259"/>
      <c r="F12" s="260"/>
      <c r="G12" s="265">
        <f t="shared" si="0"/>
        <v>452</v>
      </c>
      <c r="H12" s="265"/>
      <c r="I12" s="265"/>
      <c r="J12" s="265"/>
      <c r="K12" s="265"/>
      <c r="L12" s="268">
        <v>373</v>
      </c>
      <c r="M12" s="268"/>
      <c r="N12" s="268"/>
      <c r="O12" s="268"/>
      <c r="P12" s="268"/>
      <c r="Q12" s="268">
        <v>67</v>
      </c>
      <c r="R12" s="268"/>
      <c r="S12" s="268"/>
      <c r="T12" s="268"/>
      <c r="U12" s="268"/>
      <c r="V12" s="268">
        <v>12</v>
      </c>
      <c r="W12" s="268"/>
      <c r="X12" s="268"/>
      <c r="Y12" s="268"/>
      <c r="Z12" s="269"/>
      <c r="AA12" s="83"/>
      <c r="AB12" s="83"/>
      <c r="AC12" s="264" t="s">
        <v>91</v>
      </c>
      <c r="AD12" s="259"/>
      <c r="AE12" s="259"/>
      <c r="AF12" s="259"/>
      <c r="AG12" s="259"/>
      <c r="AH12" s="260"/>
      <c r="AI12" s="270">
        <v>425</v>
      </c>
      <c r="AJ12" s="271"/>
      <c r="AK12" s="271"/>
      <c r="AL12" s="272"/>
      <c r="AM12" s="273">
        <v>411</v>
      </c>
      <c r="AN12" s="273"/>
      <c r="AO12" s="273"/>
      <c r="AP12" s="273"/>
      <c r="AQ12" s="273">
        <f t="shared" si="1"/>
        <v>14</v>
      </c>
      <c r="AR12" s="273"/>
      <c r="AS12" s="273"/>
      <c r="AT12" s="274"/>
      <c r="AU12" s="83"/>
      <c r="AV12" s="83"/>
    </row>
    <row r="13" spans="1:48" ht="22.5" customHeight="1">
      <c r="A13" s="264" t="s">
        <v>92</v>
      </c>
      <c r="B13" s="259"/>
      <c r="C13" s="259"/>
      <c r="D13" s="259"/>
      <c r="E13" s="259"/>
      <c r="F13" s="260"/>
      <c r="G13" s="265">
        <f t="shared" si="0"/>
        <v>254</v>
      </c>
      <c r="H13" s="265"/>
      <c r="I13" s="265"/>
      <c r="J13" s="265"/>
      <c r="K13" s="265"/>
      <c r="L13" s="268">
        <v>215</v>
      </c>
      <c r="M13" s="268"/>
      <c r="N13" s="268"/>
      <c r="O13" s="268"/>
      <c r="P13" s="268"/>
      <c r="Q13" s="268">
        <v>35</v>
      </c>
      <c r="R13" s="268"/>
      <c r="S13" s="268"/>
      <c r="T13" s="268"/>
      <c r="U13" s="268"/>
      <c r="V13" s="268">
        <v>4</v>
      </c>
      <c r="W13" s="268"/>
      <c r="X13" s="268"/>
      <c r="Y13" s="268"/>
      <c r="Z13" s="269"/>
      <c r="AA13" s="83"/>
      <c r="AB13" s="83"/>
      <c r="AC13" s="264" t="s">
        <v>92</v>
      </c>
      <c r="AD13" s="259"/>
      <c r="AE13" s="259"/>
      <c r="AF13" s="259"/>
      <c r="AG13" s="259"/>
      <c r="AH13" s="260"/>
      <c r="AI13" s="270">
        <v>247</v>
      </c>
      <c r="AJ13" s="271"/>
      <c r="AK13" s="271"/>
      <c r="AL13" s="272"/>
      <c r="AM13" s="273">
        <v>238</v>
      </c>
      <c r="AN13" s="273"/>
      <c r="AO13" s="273"/>
      <c r="AP13" s="273"/>
      <c r="AQ13" s="273">
        <f t="shared" si="1"/>
        <v>9</v>
      </c>
      <c r="AR13" s="273"/>
      <c r="AS13" s="273"/>
      <c r="AT13" s="274"/>
      <c r="AU13" s="83"/>
      <c r="AV13" s="83"/>
    </row>
    <row r="14" spans="1:48" ht="22.5" customHeight="1">
      <c r="A14" s="264" t="s">
        <v>93</v>
      </c>
      <c r="B14" s="259"/>
      <c r="C14" s="259"/>
      <c r="D14" s="259"/>
      <c r="E14" s="259"/>
      <c r="F14" s="260"/>
      <c r="G14" s="265">
        <f t="shared" si="0"/>
        <v>36</v>
      </c>
      <c r="H14" s="265"/>
      <c r="I14" s="265"/>
      <c r="J14" s="265"/>
      <c r="K14" s="265"/>
      <c r="L14" s="268">
        <v>31</v>
      </c>
      <c r="M14" s="268"/>
      <c r="N14" s="268"/>
      <c r="O14" s="268"/>
      <c r="P14" s="268"/>
      <c r="Q14" s="268">
        <v>4</v>
      </c>
      <c r="R14" s="268"/>
      <c r="S14" s="268"/>
      <c r="T14" s="268"/>
      <c r="U14" s="268"/>
      <c r="V14" s="268">
        <v>1</v>
      </c>
      <c r="W14" s="268"/>
      <c r="X14" s="268"/>
      <c r="Y14" s="268"/>
      <c r="Z14" s="269"/>
      <c r="AA14" s="83"/>
      <c r="AB14" s="83"/>
      <c r="AC14" s="264" t="s">
        <v>93</v>
      </c>
      <c r="AD14" s="259"/>
      <c r="AE14" s="259"/>
      <c r="AF14" s="259"/>
      <c r="AG14" s="259"/>
      <c r="AH14" s="260"/>
      <c r="AI14" s="270">
        <v>33</v>
      </c>
      <c r="AJ14" s="271"/>
      <c r="AK14" s="271"/>
      <c r="AL14" s="272"/>
      <c r="AM14" s="273">
        <v>33</v>
      </c>
      <c r="AN14" s="273"/>
      <c r="AO14" s="273"/>
      <c r="AP14" s="273"/>
      <c r="AQ14" s="273">
        <f t="shared" si="1"/>
        <v>0</v>
      </c>
      <c r="AR14" s="273"/>
      <c r="AS14" s="273"/>
      <c r="AT14" s="274"/>
      <c r="AU14" s="83"/>
      <c r="AV14" s="83"/>
    </row>
    <row r="15" spans="1:48" ht="22.5" customHeight="1">
      <c r="A15" s="264" t="s">
        <v>94</v>
      </c>
      <c r="B15" s="259"/>
      <c r="C15" s="259"/>
      <c r="D15" s="259"/>
      <c r="E15" s="259"/>
      <c r="F15" s="260"/>
      <c r="G15" s="265">
        <f t="shared" si="0"/>
        <v>193</v>
      </c>
      <c r="H15" s="265"/>
      <c r="I15" s="265"/>
      <c r="J15" s="265"/>
      <c r="K15" s="265"/>
      <c r="L15" s="268">
        <v>141</v>
      </c>
      <c r="M15" s="268"/>
      <c r="N15" s="268"/>
      <c r="O15" s="268"/>
      <c r="P15" s="268"/>
      <c r="Q15" s="268">
        <v>40</v>
      </c>
      <c r="R15" s="268"/>
      <c r="S15" s="268"/>
      <c r="T15" s="268"/>
      <c r="U15" s="268"/>
      <c r="V15" s="268">
        <v>12</v>
      </c>
      <c r="W15" s="268"/>
      <c r="X15" s="268"/>
      <c r="Y15" s="268"/>
      <c r="Z15" s="269"/>
      <c r="AA15" s="83"/>
      <c r="AB15" s="83"/>
      <c r="AC15" s="264" t="s">
        <v>94</v>
      </c>
      <c r="AD15" s="259"/>
      <c r="AE15" s="259"/>
      <c r="AF15" s="259"/>
      <c r="AG15" s="259"/>
      <c r="AH15" s="260"/>
      <c r="AI15" s="270">
        <v>178</v>
      </c>
      <c r="AJ15" s="271"/>
      <c r="AK15" s="271"/>
      <c r="AL15" s="272"/>
      <c r="AM15" s="273">
        <v>174</v>
      </c>
      <c r="AN15" s="273"/>
      <c r="AO15" s="273"/>
      <c r="AP15" s="273"/>
      <c r="AQ15" s="273">
        <f t="shared" si="1"/>
        <v>4</v>
      </c>
      <c r="AR15" s="273"/>
      <c r="AS15" s="273"/>
      <c r="AT15" s="274"/>
      <c r="AU15" s="83"/>
      <c r="AV15" s="83"/>
    </row>
    <row r="16" spans="1:48" ht="22.5" customHeight="1">
      <c r="A16" s="264" t="s">
        <v>95</v>
      </c>
      <c r="B16" s="259"/>
      <c r="C16" s="259"/>
      <c r="D16" s="259"/>
      <c r="E16" s="259"/>
      <c r="F16" s="260"/>
      <c r="G16" s="265">
        <f t="shared" si="0"/>
        <v>460</v>
      </c>
      <c r="H16" s="265"/>
      <c r="I16" s="265"/>
      <c r="J16" s="265"/>
      <c r="K16" s="265"/>
      <c r="L16" s="275">
        <v>377</v>
      </c>
      <c r="M16" s="275"/>
      <c r="N16" s="275"/>
      <c r="O16" s="275"/>
      <c r="P16" s="275"/>
      <c r="Q16" s="268">
        <v>63</v>
      </c>
      <c r="R16" s="268"/>
      <c r="S16" s="268"/>
      <c r="T16" s="268"/>
      <c r="U16" s="268"/>
      <c r="V16" s="268">
        <v>20</v>
      </c>
      <c r="W16" s="268"/>
      <c r="X16" s="268"/>
      <c r="Y16" s="268"/>
      <c r="Z16" s="269"/>
      <c r="AA16" s="83"/>
      <c r="AB16" s="83"/>
      <c r="AC16" s="264" t="s">
        <v>95</v>
      </c>
      <c r="AD16" s="259"/>
      <c r="AE16" s="259"/>
      <c r="AF16" s="259"/>
      <c r="AG16" s="259"/>
      <c r="AH16" s="260"/>
      <c r="AI16" s="267">
        <v>438</v>
      </c>
      <c r="AJ16" s="267"/>
      <c r="AK16" s="267"/>
      <c r="AL16" s="267"/>
      <c r="AM16" s="273">
        <v>427</v>
      </c>
      <c r="AN16" s="273"/>
      <c r="AO16" s="273"/>
      <c r="AP16" s="273"/>
      <c r="AQ16" s="273">
        <f>AI16-AM16</f>
        <v>11</v>
      </c>
      <c r="AR16" s="273"/>
      <c r="AS16" s="273"/>
      <c r="AT16" s="274"/>
      <c r="AU16" s="83"/>
      <c r="AV16" s="83"/>
    </row>
    <row r="17" spans="1:48" ht="22.5" customHeight="1">
      <c r="A17" s="264" t="s">
        <v>96</v>
      </c>
      <c r="B17" s="259"/>
      <c r="C17" s="259"/>
      <c r="D17" s="259"/>
      <c r="E17" s="259"/>
      <c r="F17" s="260"/>
      <c r="G17" s="265">
        <f>SUM(L17:Z17)</f>
        <v>241</v>
      </c>
      <c r="H17" s="265"/>
      <c r="I17" s="265"/>
      <c r="J17" s="265"/>
      <c r="K17" s="265"/>
      <c r="L17" s="268">
        <v>129</v>
      </c>
      <c r="M17" s="268"/>
      <c r="N17" s="268"/>
      <c r="O17" s="268"/>
      <c r="P17" s="268"/>
      <c r="Q17" s="268">
        <v>77</v>
      </c>
      <c r="R17" s="268"/>
      <c r="S17" s="268"/>
      <c r="T17" s="268"/>
      <c r="U17" s="268"/>
      <c r="V17" s="268">
        <v>35</v>
      </c>
      <c r="W17" s="268"/>
      <c r="X17" s="268"/>
      <c r="Y17" s="268"/>
      <c r="Z17" s="269"/>
      <c r="AA17" s="83"/>
      <c r="AB17" s="83"/>
      <c r="AC17" s="264" t="s">
        <v>96</v>
      </c>
      <c r="AD17" s="259"/>
      <c r="AE17" s="259"/>
      <c r="AF17" s="259"/>
      <c r="AG17" s="259"/>
      <c r="AH17" s="260"/>
      <c r="AI17" s="265">
        <v>166</v>
      </c>
      <c r="AJ17" s="265"/>
      <c r="AK17" s="265"/>
      <c r="AL17" s="265"/>
      <c r="AM17" s="273">
        <v>139</v>
      </c>
      <c r="AN17" s="273"/>
      <c r="AO17" s="273"/>
      <c r="AP17" s="273"/>
      <c r="AQ17" s="273">
        <f>AI17-AM17</f>
        <v>27</v>
      </c>
      <c r="AR17" s="273"/>
      <c r="AS17" s="273"/>
      <c r="AT17" s="274"/>
      <c r="AU17" s="83"/>
      <c r="AV17" s="83"/>
    </row>
    <row r="18" spans="1:48" ht="22.5" customHeight="1" thickBot="1">
      <c r="A18" s="276" t="s">
        <v>97</v>
      </c>
      <c r="B18" s="277"/>
      <c r="C18" s="277"/>
      <c r="D18" s="277"/>
      <c r="E18" s="277"/>
      <c r="F18" s="278"/>
      <c r="G18" s="279">
        <f>SUM(L18:Z18)</f>
        <v>305</v>
      </c>
      <c r="H18" s="279"/>
      <c r="I18" s="279"/>
      <c r="J18" s="279"/>
      <c r="K18" s="279"/>
      <c r="L18" s="280">
        <v>235</v>
      </c>
      <c r="M18" s="280"/>
      <c r="N18" s="280"/>
      <c r="O18" s="280"/>
      <c r="P18" s="280"/>
      <c r="Q18" s="280">
        <v>53</v>
      </c>
      <c r="R18" s="280"/>
      <c r="S18" s="280"/>
      <c r="T18" s="280"/>
      <c r="U18" s="280"/>
      <c r="V18" s="280">
        <v>17</v>
      </c>
      <c r="W18" s="280"/>
      <c r="X18" s="280"/>
      <c r="Y18" s="280"/>
      <c r="Z18" s="281"/>
      <c r="AA18" s="83"/>
      <c r="AB18" s="83"/>
      <c r="AC18" s="276" t="s">
        <v>97</v>
      </c>
      <c r="AD18" s="277"/>
      <c r="AE18" s="277"/>
      <c r="AF18" s="277"/>
      <c r="AG18" s="277"/>
      <c r="AH18" s="278"/>
      <c r="AI18" s="279">
        <v>281</v>
      </c>
      <c r="AJ18" s="279"/>
      <c r="AK18" s="279"/>
      <c r="AL18" s="279"/>
      <c r="AM18" s="282">
        <v>269</v>
      </c>
      <c r="AN18" s="282"/>
      <c r="AO18" s="282"/>
      <c r="AP18" s="282"/>
      <c r="AQ18" s="282">
        <f>AI18-AM18</f>
        <v>12</v>
      </c>
      <c r="AR18" s="282"/>
      <c r="AS18" s="282"/>
      <c r="AT18" s="283"/>
      <c r="AU18" s="83"/>
      <c r="AV18" s="83"/>
    </row>
    <row r="19" spans="1:48" ht="15" customHeight="1">
      <c r="A19" s="83"/>
      <c r="B19" s="83"/>
      <c r="C19" s="83"/>
      <c r="D19" s="83"/>
      <c r="E19" s="83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03"/>
      <c r="T19" s="284"/>
      <c r="U19" s="284"/>
      <c r="V19" s="284"/>
      <c r="W19" s="284"/>
      <c r="X19" s="284"/>
      <c r="Y19" s="284"/>
      <c r="Z19" s="284"/>
      <c r="AA19" s="284"/>
      <c r="AB19" s="284"/>
      <c r="AU19" s="284"/>
      <c r="AV19" s="284"/>
    </row>
    <row r="20" ht="5.25" customHeight="1"/>
    <row r="21" ht="13.5">
      <c r="A21" t="s">
        <v>119</v>
      </c>
    </row>
    <row r="22" spans="21:46" ht="10.5" customHeight="1" thickBot="1">
      <c r="U22" s="234"/>
      <c r="AK22" s="42"/>
      <c r="AL22" s="234"/>
      <c r="AM22" s="234"/>
      <c r="AN22" s="234"/>
      <c r="AR22" s="42"/>
      <c r="AS22" s="234"/>
      <c r="AT22" s="285" t="s">
        <v>120</v>
      </c>
    </row>
    <row r="23" spans="1:46" ht="15" customHeight="1">
      <c r="A23" s="286" t="s">
        <v>121</v>
      </c>
      <c r="B23" s="166"/>
      <c r="C23" s="166"/>
      <c r="D23" s="166"/>
      <c r="E23" s="166"/>
      <c r="F23" s="166"/>
      <c r="G23" s="166"/>
      <c r="H23" s="166"/>
      <c r="I23" s="204"/>
      <c r="J23" s="287" t="s">
        <v>122</v>
      </c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9"/>
    </row>
    <row r="24" spans="1:46" ht="15" customHeight="1">
      <c r="A24" s="264"/>
      <c r="B24" s="259"/>
      <c r="C24" s="259"/>
      <c r="D24" s="259"/>
      <c r="E24" s="259"/>
      <c r="F24" s="259"/>
      <c r="G24" s="259"/>
      <c r="H24" s="259"/>
      <c r="I24" s="290"/>
      <c r="J24" s="291" t="s">
        <v>123</v>
      </c>
      <c r="K24" s="292"/>
      <c r="L24" s="292"/>
      <c r="M24" s="292"/>
      <c r="N24" s="292"/>
      <c r="O24" s="292"/>
      <c r="P24" s="292"/>
      <c r="Q24" s="292"/>
      <c r="R24" s="293" t="s">
        <v>124</v>
      </c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5"/>
      <c r="AM24" s="292" t="s">
        <v>125</v>
      </c>
      <c r="AN24" s="292"/>
      <c r="AO24" s="292"/>
      <c r="AP24" s="292"/>
      <c r="AQ24" s="292"/>
      <c r="AR24" s="292"/>
      <c r="AS24" s="292"/>
      <c r="AT24" s="296"/>
    </row>
    <row r="25" spans="1:46" ht="26.25" customHeight="1">
      <c r="A25" s="264"/>
      <c r="B25" s="259"/>
      <c r="C25" s="259"/>
      <c r="D25" s="259"/>
      <c r="E25" s="259"/>
      <c r="F25" s="259"/>
      <c r="G25" s="259"/>
      <c r="H25" s="259"/>
      <c r="I25" s="290"/>
      <c r="J25" s="291"/>
      <c r="K25" s="292"/>
      <c r="L25" s="292"/>
      <c r="M25" s="292"/>
      <c r="N25" s="292"/>
      <c r="O25" s="292"/>
      <c r="P25" s="292"/>
      <c r="Q25" s="292"/>
      <c r="R25" s="297" t="s">
        <v>126</v>
      </c>
      <c r="S25" s="297"/>
      <c r="T25" s="297"/>
      <c r="U25" s="297"/>
      <c r="V25" s="297"/>
      <c r="W25" s="297"/>
      <c r="X25" s="297"/>
      <c r="Y25" s="298" t="s">
        <v>127</v>
      </c>
      <c r="Z25" s="299"/>
      <c r="AA25" s="299"/>
      <c r="AB25" s="299"/>
      <c r="AC25" s="299"/>
      <c r="AD25" s="299"/>
      <c r="AE25" s="300"/>
      <c r="AF25" s="297" t="s">
        <v>128</v>
      </c>
      <c r="AG25" s="297"/>
      <c r="AH25" s="297"/>
      <c r="AI25" s="297"/>
      <c r="AJ25" s="297"/>
      <c r="AK25" s="297"/>
      <c r="AL25" s="297"/>
      <c r="AM25" s="292"/>
      <c r="AN25" s="292"/>
      <c r="AO25" s="292"/>
      <c r="AP25" s="292"/>
      <c r="AQ25" s="292"/>
      <c r="AR25" s="292"/>
      <c r="AS25" s="292"/>
      <c r="AT25" s="296"/>
    </row>
    <row r="26" spans="1:46" ht="22.5" customHeight="1">
      <c r="A26" s="264" t="s">
        <v>19</v>
      </c>
      <c r="B26" s="259"/>
      <c r="C26" s="259"/>
      <c r="D26" s="259"/>
      <c r="E26" s="259"/>
      <c r="F26" s="259"/>
      <c r="G26" s="259"/>
      <c r="H26" s="259"/>
      <c r="I26" s="290"/>
      <c r="J26" s="301">
        <f>SUM(J27:Q38)</f>
        <v>840</v>
      </c>
      <c r="K26" s="302"/>
      <c r="L26" s="302"/>
      <c r="M26" s="302"/>
      <c r="N26" s="302"/>
      <c r="O26" s="302"/>
      <c r="P26" s="302"/>
      <c r="Q26" s="302"/>
      <c r="R26" s="302">
        <f>SUM(R27:R38)</f>
        <v>575</v>
      </c>
      <c r="S26" s="302"/>
      <c r="T26" s="302"/>
      <c r="U26" s="302"/>
      <c r="V26" s="302"/>
      <c r="W26" s="302"/>
      <c r="X26" s="302"/>
      <c r="Y26" s="93">
        <f>SUM(Y27:Y38)</f>
        <v>654</v>
      </c>
      <c r="Z26" s="303"/>
      <c r="AA26" s="303"/>
      <c r="AB26" s="303"/>
      <c r="AC26" s="303"/>
      <c r="AD26" s="303"/>
      <c r="AE26" s="94"/>
      <c r="AF26" s="302">
        <f>SUM(AF27:AF38)</f>
        <v>358</v>
      </c>
      <c r="AG26" s="302"/>
      <c r="AH26" s="302"/>
      <c r="AI26" s="302"/>
      <c r="AJ26" s="302"/>
      <c r="AK26" s="302"/>
      <c r="AL26" s="302"/>
      <c r="AM26" s="302">
        <f>SUM(AM27:AM38)</f>
        <v>1681</v>
      </c>
      <c r="AN26" s="302"/>
      <c r="AO26" s="302"/>
      <c r="AP26" s="302"/>
      <c r="AQ26" s="302"/>
      <c r="AR26" s="302"/>
      <c r="AS26" s="302"/>
      <c r="AT26" s="304"/>
    </row>
    <row r="27" spans="1:46" ht="22.5" customHeight="1">
      <c r="A27" s="264" t="s">
        <v>129</v>
      </c>
      <c r="B27" s="259"/>
      <c r="C27" s="259"/>
      <c r="D27" s="259"/>
      <c r="E27" s="259"/>
      <c r="F27" s="259"/>
      <c r="G27" s="259"/>
      <c r="H27" s="259"/>
      <c r="I27" s="290"/>
      <c r="J27" s="301">
        <v>57</v>
      </c>
      <c r="K27" s="302"/>
      <c r="L27" s="302"/>
      <c r="M27" s="302"/>
      <c r="N27" s="302"/>
      <c r="O27" s="302"/>
      <c r="P27" s="302"/>
      <c r="Q27" s="302"/>
      <c r="R27" s="302">
        <v>43</v>
      </c>
      <c r="S27" s="302"/>
      <c r="T27" s="302"/>
      <c r="U27" s="302"/>
      <c r="V27" s="302"/>
      <c r="W27" s="302"/>
      <c r="X27" s="302"/>
      <c r="Y27" s="93">
        <v>51</v>
      </c>
      <c r="Z27" s="303"/>
      <c r="AA27" s="303"/>
      <c r="AB27" s="303"/>
      <c r="AC27" s="303"/>
      <c r="AD27" s="303"/>
      <c r="AE27" s="94"/>
      <c r="AF27" s="302">
        <v>22</v>
      </c>
      <c r="AG27" s="302"/>
      <c r="AH27" s="302"/>
      <c r="AI27" s="302"/>
      <c r="AJ27" s="302"/>
      <c r="AK27" s="302"/>
      <c r="AL27" s="302"/>
      <c r="AM27" s="302">
        <v>95</v>
      </c>
      <c r="AN27" s="302"/>
      <c r="AO27" s="302"/>
      <c r="AP27" s="302"/>
      <c r="AQ27" s="302"/>
      <c r="AR27" s="302"/>
      <c r="AS27" s="302"/>
      <c r="AT27" s="304"/>
    </row>
    <row r="28" spans="1:46" ht="22.5" customHeight="1">
      <c r="A28" s="264" t="s">
        <v>130</v>
      </c>
      <c r="B28" s="259"/>
      <c r="C28" s="259"/>
      <c r="D28" s="259"/>
      <c r="E28" s="259"/>
      <c r="F28" s="259"/>
      <c r="G28" s="259"/>
      <c r="H28" s="259"/>
      <c r="I28" s="290"/>
      <c r="J28" s="301">
        <v>54</v>
      </c>
      <c r="K28" s="302"/>
      <c r="L28" s="302"/>
      <c r="M28" s="302"/>
      <c r="N28" s="302"/>
      <c r="O28" s="302"/>
      <c r="P28" s="302"/>
      <c r="Q28" s="302"/>
      <c r="R28" s="302">
        <v>41</v>
      </c>
      <c r="S28" s="302"/>
      <c r="T28" s="302"/>
      <c r="U28" s="302"/>
      <c r="V28" s="302"/>
      <c r="W28" s="302"/>
      <c r="X28" s="302"/>
      <c r="Y28" s="93">
        <v>42</v>
      </c>
      <c r="Z28" s="303"/>
      <c r="AA28" s="303"/>
      <c r="AB28" s="303"/>
      <c r="AC28" s="303"/>
      <c r="AD28" s="303"/>
      <c r="AE28" s="94"/>
      <c r="AF28" s="302">
        <v>25</v>
      </c>
      <c r="AG28" s="302"/>
      <c r="AH28" s="302"/>
      <c r="AI28" s="302"/>
      <c r="AJ28" s="302"/>
      <c r="AK28" s="302"/>
      <c r="AL28" s="302"/>
      <c r="AM28" s="302">
        <v>106</v>
      </c>
      <c r="AN28" s="302"/>
      <c r="AO28" s="302"/>
      <c r="AP28" s="302"/>
      <c r="AQ28" s="302"/>
      <c r="AR28" s="302"/>
      <c r="AS28" s="302"/>
      <c r="AT28" s="304"/>
    </row>
    <row r="29" spans="1:46" ht="22.5" customHeight="1">
      <c r="A29" s="264" t="s">
        <v>131</v>
      </c>
      <c r="B29" s="259"/>
      <c r="C29" s="259"/>
      <c r="D29" s="259"/>
      <c r="E29" s="259"/>
      <c r="F29" s="259"/>
      <c r="G29" s="259"/>
      <c r="H29" s="259"/>
      <c r="I29" s="290"/>
      <c r="J29" s="301">
        <v>50</v>
      </c>
      <c r="K29" s="302"/>
      <c r="L29" s="302"/>
      <c r="M29" s="302"/>
      <c r="N29" s="302"/>
      <c r="O29" s="302"/>
      <c r="P29" s="302"/>
      <c r="Q29" s="302"/>
      <c r="R29" s="302">
        <v>40</v>
      </c>
      <c r="S29" s="302"/>
      <c r="T29" s="302"/>
      <c r="U29" s="302"/>
      <c r="V29" s="302"/>
      <c r="W29" s="302"/>
      <c r="X29" s="302"/>
      <c r="Y29" s="93">
        <v>44</v>
      </c>
      <c r="Z29" s="303"/>
      <c r="AA29" s="303"/>
      <c r="AB29" s="303"/>
      <c r="AC29" s="303"/>
      <c r="AD29" s="303"/>
      <c r="AE29" s="94"/>
      <c r="AF29" s="302">
        <v>14</v>
      </c>
      <c r="AG29" s="302"/>
      <c r="AH29" s="302"/>
      <c r="AI29" s="302"/>
      <c r="AJ29" s="302"/>
      <c r="AK29" s="302"/>
      <c r="AL29" s="302"/>
      <c r="AM29" s="302">
        <v>92</v>
      </c>
      <c r="AN29" s="302"/>
      <c r="AO29" s="302"/>
      <c r="AP29" s="302"/>
      <c r="AQ29" s="302"/>
      <c r="AR29" s="302"/>
      <c r="AS29" s="302"/>
      <c r="AT29" s="304"/>
    </row>
    <row r="30" spans="1:46" ht="22.5" customHeight="1">
      <c r="A30" s="264" t="s">
        <v>132</v>
      </c>
      <c r="B30" s="259"/>
      <c r="C30" s="259"/>
      <c r="D30" s="259"/>
      <c r="E30" s="259"/>
      <c r="F30" s="259"/>
      <c r="G30" s="259"/>
      <c r="H30" s="259"/>
      <c r="I30" s="290"/>
      <c r="J30" s="301">
        <v>15</v>
      </c>
      <c r="K30" s="302"/>
      <c r="L30" s="302"/>
      <c r="M30" s="302"/>
      <c r="N30" s="302"/>
      <c r="O30" s="302"/>
      <c r="P30" s="302"/>
      <c r="Q30" s="302"/>
      <c r="R30" s="302">
        <v>8</v>
      </c>
      <c r="S30" s="302"/>
      <c r="T30" s="302"/>
      <c r="U30" s="302"/>
      <c r="V30" s="302"/>
      <c r="W30" s="302"/>
      <c r="X30" s="302"/>
      <c r="Y30" s="93">
        <v>14</v>
      </c>
      <c r="Z30" s="303"/>
      <c r="AA30" s="303"/>
      <c r="AB30" s="303"/>
      <c r="AC30" s="303"/>
      <c r="AD30" s="303"/>
      <c r="AE30" s="94"/>
      <c r="AF30" s="302">
        <v>5</v>
      </c>
      <c r="AG30" s="302"/>
      <c r="AH30" s="302"/>
      <c r="AI30" s="302"/>
      <c r="AJ30" s="302"/>
      <c r="AK30" s="302"/>
      <c r="AL30" s="302"/>
      <c r="AM30" s="302">
        <v>27</v>
      </c>
      <c r="AN30" s="302"/>
      <c r="AO30" s="302"/>
      <c r="AP30" s="302"/>
      <c r="AQ30" s="302"/>
      <c r="AR30" s="302"/>
      <c r="AS30" s="302"/>
      <c r="AT30" s="304"/>
    </row>
    <row r="31" spans="1:46" ht="22.5" customHeight="1">
      <c r="A31" s="264" t="s">
        <v>133</v>
      </c>
      <c r="B31" s="259"/>
      <c r="C31" s="259"/>
      <c r="D31" s="259"/>
      <c r="E31" s="259"/>
      <c r="F31" s="259"/>
      <c r="G31" s="259"/>
      <c r="H31" s="259"/>
      <c r="I31" s="290"/>
      <c r="J31" s="301">
        <v>16</v>
      </c>
      <c r="K31" s="302"/>
      <c r="L31" s="302"/>
      <c r="M31" s="302"/>
      <c r="N31" s="302"/>
      <c r="O31" s="302"/>
      <c r="P31" s="302"/>
      <c r="Q31" s="302"/>
      <c r="R31" s="302">
        <v>6</v>
      </c>
      <c r="S31" s="302"/>
      <c r="T31" s="302"/>
      <c r="U31" s="302"/>
      <c r="V31" s="302"/>
      <c r="W31" s="302"/>
      <c r="X31" s="302"/>
      <c r="Y31" s="93">
        <v>9</v>
      </c>
      <c r="Z31" s="303"/>
      <c r="AA31" s="303"/>
      <c r="AB31" s="303"/>
      <c r="AC31" s="303"/>
      <c r="AD31" s="303"/>
      <c r="AE31" s="94"/>
      <c r="AF31" s="302">
        <v>5</v>
      </c>
      <c r="AG31" s="302"/>
      <c r="AH31" s="302"/>
      <c r="AI31" s="302"/>
      <c r="AJ31" s="302"/>
      <c r="AK31" s="302"/>
      <c r="AL31" s="302"/>
      <c r="AM31" s="302">
        <v>17</v>
      </c>
      <c r="AN31" s="302"/>
      <c r="AO31" s="302"/>
      <c r="AP31" s="302"/>
      <c r="AQ31" s="302"/>
      <c r="AR31" s="302"/>
      <c r="AS31" s="302"/>
      <c r="AT31" s="304"/>
    </row>
    <row r="32" spans="1:46" ht="22.5" customHeight="1">
      <c r="A32" s="264" t="s">
        <v>134</v>
      </c>
      <c r="B32" s="259"/>
      <c r="C32" s="259"/>
      <c r="D32" s="259"/>
      <c r="E32" s="259"/>
      <c r="F32" s="259"/>
      <c r="G32" s="259"/>
      <c r="H32" s="259"/>
      <c r="I32" s="290"/>
      <c r="J32" s="301">
        <v>162</v>
      </c>
      <c r="K32" s="302"/>
      <c r="L32" s="302"/>
      <c r="M32" s="302"/>
      <c r="N32" s="302"/>
      <c r="O32" s="302"/>
      <c r="P32" s="302"/>
      <c r="Q32" s="302"/>
      <c r="R32" s="302">
        <v>102</v>
      </c>
      <c r="S32" s="302"/>
      <c r="T32" s="302"/>
      <c r="U32" s="302"/>
      <c r="V32" s="302"/>
      <c r="W32" s="302"/>
      <c r="X32" s="302"/>
      <c r="Y32" s="93">
        <v>124</v>
      </c>
      <c r="Z32" s="303"/>
      <c r="AA32" s="303"/>
      <c r="AB32" s="303"/>
      <c r="AC32" s="303"/>
      <c r="AD32" s="303"/>
      <c r="AE32" s="94"/>
      <c r="AF32" s="302">
        <v>60</v>
      </c>
      <c r="AG32" s="302"/>
      <c r="AH32" s="302"/>
      <c r="AI32" s="302"/>
      <c r="AJ32" s="302"/>
      <c r="AK32" s="302"/>
      <c r="AL32" s="302"/>
      <c r="AM32" s="302">
        <v>307</v>
      </c>
      <c r="AN32" s="302"/>
      <c r="AO32" s="302"/>
      <c r="AP32" s="302"/>
      <c r="AQ32" s="302"/>
      <c r="AR32" s="302"/>
      <c r="AS32" s="302"/>
      <c r="AT32" s="304"/>
    </row>
    <row r="33" spans="1:46" ht="22.5" customHeight="1">
      <c r="A33" s="264" t="s">
        <v>135</v>
      </c>
      <c r="B33" s="259"/>
      <c r="C33" s="259"/>
      <c r="D33" s="259"/>
      <c r="E33" s="259"/>
      <c r="F33" s="259"/>
      <c r="G33" s="259"/>
      <c r="H33" s="259"/>
      <c r="I33" s="290"/>
      <c r="J33" s="301">
        <v>87</v>
      </c>
      <c r="K33" s="302"/>
      <c r="L33" s="302"/>
      <c r="M33" s="302"/>
      <c r="N33" s="302"/>
      <c r="O33" s="302"/>
      <c r="P33" s="302"/>
      <c r="Q33" s="302"/>
      <c r="R33" s="302">
        <v>69</v>
      </c>
      <c r="S33" s="302"/>
      <c r="T33" s="302"/>
      <c r="U33" s="302"/>
      <c r="V33" s="302"/>
      <c r="W33" s="302"/>
      <c r="X33" s="302"/>
      <c r="Y33" s="93">
        <v>67</v>
      </c>
      <c r="Z33" s="303"/>
      <c r="AA33" s="303"/>
      <c r="AB33" s="303"/>
      <c r="AC33" s="303"/>
      <c r="AD33" s="303"/>
      <c r="AE33" s="94"/>
      <c r="AF33" s="302">
        <v>41</v>
      </c>
      <c r="AG33" s="302"/>
      <c r="AH33" s="302"/>
      <c r="AI33" s="302"/>
      <c r="AJ33" s="302"/>
      <c r="AK33" s="302"/>
      <c r="AL33" s="302"/>
      <c r="AM33" s="302">
        <v>173</v>
      </c>
      <c r="AN33" s="302"/>
      <c r="AO33" s="302"/>
      <c r="AP33" s="302"/>
      <c r="AQ33" s="302"/>
      <c r="AR33" s="302"/>
      <c r="AS33" s="302"/>
      <c r="AT33" s="304"/>
    </row>
    <row r="34" spans="1:46" ht="22.5" customHeight="1">
      <c r="A34" s="264" t="s">
        <v>136</v>
      </c>
      <c r="B34" s="259"/>
      <c r="C34" s="259"/>
      <c r="D34" s="259"/>
      <c r="E34" s="259"/>
      <c r="F34" s="259"/>
      <c r="G34" s="259"/>
      <c r="H34" s="259"/>
      <c r="I34" s="290"/>
      <c r="J34" s="301">
        <v>17</v>
      </c>
      <c r="K34" s="302"/>
      <c r="L34" s="302"/>
      <c r="M34" s="302"/>
      <c r="N34" s="302"/>
      <c r="O34" s="302"/>
      <c r="P34" s="302"/>
      <c r="Q34" s="302"/>
      <c r="R34" s="302">
        <v>12</v>
      </c>
      <c r="S34" s="302"/>
      <c r="T34" s="302"/>
      <c r="U34" s="302"/>
      <c r="V34" s="302"/>
      <c r="W34" s="302"/>
      <c r="X34" s="302"/>
      <c r="Y34" s="93">
        <v>14</v>
      </c>
      <c r="Z34" s="303"/>
      <c r="AA34" s="303"/>
      <c r="AB34" s="303"/>
      <c r="AC34" s="303"/>
      <c r="AD34" s="303"/>
      <c r="AE34" s="94"/>
      <c r="AF34" s="302">
        <v>13</v>
      </c>
      <c r="AG34" s="302"/>
      <c r="AH34" s="302"/>
      <c r="AI34" s="302"/>
      <c r="AJ34" s="302"/>
      <c r="AK34" s="302"/>
      <c r="AL34" s="302"/>
      <c r="AM34" s="302">
        <v>20</v>
      </c>
      <c r="AN34" s="302"/>
      <c r="AO34" s="302"/>
      <c r="AP34" s="302"/>
      <c r="AQ34" s="302"/>
      <c r="AR34" s="302"/>
      <c r="AS34" s="302"/>
      <c r="AT34" s="304"/>
    </row>
    <row r="35" spans="1:46" ht="22.5" customHeight="1">
      <c r="A35" s="264" t="s">
        <v>137</v>
      </c>
      <c r="B35" s="259"/>
      <c r="C35" s="259"/>
      <c r="D35" s="259"/>
      <c r="E35" s="259"/>
      <c r="F35" s="259"/>
      <c r="G35" s="259"/>
      <c r="H35" s="259"/>
      <c r="I35" s="290"/>
      <c r="J35" s="301">
        <v>56</v>
      </c>
      <c r="K35" s="302"/>
      <c r="L35" s="302"/>
      <c r="M35" s="302"/>
      <c r="N35" s="302"/>
      <c r="O35" s="302"/>
      <c r="P35" s="302"/>
      <c r="Q35" s="302"/>
      <c r="R35" s="302">
        <v>36</v>
      </c>
      <c r="S35" s="302"/>
      <c r="T35" s="302"/>
      <c r="U35" s="302"/>
      <c r="V35" s="302"/>
      <c r="W35" s="302"/>
      <c r="X35" s="302"/>
      <c r="Y35" s="93">
        <v>43</v>
      </c>
      <c r="Z35" s="303"/>
      <c r="AA35" s="303"/>
      <c r="AB35" s="303"/>
      <c r="AC35" s="303"/>
      <c r="AD35" s="303"/>
      <c r="AE35" s="94"/>
      <c r="AF35" s="302">
        <v>26</v>
      </c>
      <c r="AG35" s="302"/>
      <c r="AH35" s="302"/>
      <c r="AI35" s="302"/>
      <c r="AJ35" s="302"/>
      <c r="AK35" s="302"/>
      <c r="AL35" s="302"/>
      <c r="AM35" s="302">
        <v>141</v>
      </c>
      <c r="AN35" s="302"/>
      <c r="AO35" s="302"/>
      <c r="AP35" s="302"/>
      <c r="AQ35" s="302"/>
      <c r="AR35" s="302"/>
      <c r="AS35" s="302"/>
      <c r="AT35" s="304"/>
    </row>
    <row r="36" spans="1:46" ht="22.5" customHeight="1">
      <c r="A36" s="264" t="s">
        <v>138</v>
      </c>
      <c r="B36" s="259"/>
      <c r="C36" s="259"/>
      <c r="D36" s="259"/>
      <c r="E36" s="259"/>
      <c r="F36" s="259"/>
      <c r="G36" s="259"/>
      <c r="H36" s="259"/>
      <c r="I36" s="290"/>
      <c r="J36" s="305">
        <v>128</v>
      </c>
      <c r="K36" s="306"/>
      <c r="L36" s="306"/>
      <c r="M36" s="306"/>
      <c r="N36" s="306"/>
      <c r="O36" s="306"/>
      <c r="P36" s="306"/>
      <c r="Q36" s="306"/>
      <c r="R36" s="302">
        <v>85</v>
      </c>
      <c r="S36" s="302"/>
      <c r="T36" s="302"/>
      <c r="U36" s="302"/>
      <c r="V36" s="302"/>
      <c r="W36" s="302"/>
      <c r="X36" s="302"/>
      <c r="Y36" s="93">
        <v>93</v>
      </c>
      <c r="Z36" s="303"/>
      <c r="AA36" s="303"/>
      <c r="AB36" s="303"/>
      <c r="AC36" s="303"/>
      <c r="AD36" s="303"/>
      <c r="AE36" s="94"/>
      <c r="AF36" s="302">
        <v>52</v>
      </c>
      <c r="AG36" s="302"/>
      <c r="AH36" s="302"/>
      <c r="AI36" s="302"/>
      <c r="AJ36" s="302"/>
      <c r="AK36" s="302"/>
      <c r="AL36" s="302"/>
      <c r="AM36" s="302">
        <v>338</v>
      </c>
      <c r="AN36" s="302"/>
      <c r="AO36" s="302"/>
      <c r="AP36" s="302"/>
      <c r="AQ36" s="302"/>
      <c r="AR36" s="302"/>
      <c r="AS36" s="302"/>
      <c r="AT36" s="304"/>
    </row>
    <row r="37" spans="1:46" ht="22.5" customHeight="1">
      <c r="A37" s="264" t="s">
        <v>139</v>
      </c>
      <c r="B37" s="259"/>
      <c r="C37" s="259"/>
      <c r="D37" s="259"/>
      <c r="E37" s="259"/>
      <c r="F37" s="259"/>
      <c r="G37" s="259"/>
      <c r="H37" s="259"/>
      <c r="I37" s="290"/>
      <c r="J37" s="301">
        <v>64</v>
      </c>
      <c r="K37" s="302"/>
      <c r="L37" s="302"/>
      <c r="M37" s="302"/>
      <c r="N37" s="302"/>
      <c r="O37" s="302"/>
      <c r="P37" s="302"/>
      <c r="Q37" s="302"/>
      <c r="R37" s="302">
        <v>36</v>
      </c>
      <c r="S37" s="302"/>
      <c r="T37" s="302"/>
      <c r="U37" s="302"/>
      <c r="V37" s="302"/>
      <c r="W37" s="302"/>
      <c r="X37" s="302"/>
      <c r="Y37" s="93">
        <v>46</v>
      </c>
      <c r="Z37" s="303"/>
      <c r="AA37" s="303"/>
      <c r="AB37" s="303"/>
      <c r="AC37" s="303"/>
      <c r="AD37" s="303"/>
      <c r="AE37" s="94"/>
      <c r="AF37" s="302">
        <v>23</v>
      </c>
      <c r="AG37" s="302"/>
      <c r="AH37" s="302"/>
      <c r="AI37" s="302"/>
      <c r="AJ37" s="302"/>
      <c r="AK37" s="302"/>
      <c r="AL37" s="302"/>
      <c r="AM37" s="302">
        <v>183</v>
      </c>
      <c r="AN37" s="302"/>
      <c r="AO37" s="302"/>
      <c r="AP37" s="302"/>
      <c r="AQ37" s="302"/>
      <c r="AR37" s="302"/>
      <c r="AS37" s="302"/>
      <c r="AT37" s="304"/>
    </row>
    <row r="38" spans="1:46" ht="22.5" customHeight="1" thickBot="1">
      <c r="A38" s="276" t="s">
        <v>140</v>
      </c>
      <c r="B38" s="277"/>
      <c r="C38" s="277"/>
      <c r="D38" s="277"/>
      <c r="E38" s="277"/>
      <c r="F38" s="277"/>
      <c r="G38" s="277"/>
      <c r="H38" s="277"/>
      <c r="I38" s="307"/>
      <c r="J38" s="308">
        <v>134</v>
      </c>
      <c r="K38" s="309"/>
      <c r="L38" s="309"/>
      <c r="M38" s="309"/>
      <c r="N38" s="309"/>
      <c r="O38" s="309"/>
      <c r="P38" s="309"/>
      <c r="Q38" s="309"/>
      <c r="R38" s="309">
        <v>97</v>
      </c>
      <c r="S38" s="309"/>
      <c r="T38" s="309"/>
      <c r="U38" s="309"/>
      <c r="V38" s="309"/>
      <c r="W38" s="309"/>
      <c r="X38" s="309"/>
      <c r="Y38" s="100">
        <v>107</v>
      </c>
      <c r="Z38" s="310"/>
      <c r="AA38" s="310"/>
      <c r="AB38" s="310"/>
      <c r="AC38" s="310"/>
      <c r="AD38" s="310"/>
      <c r="AE38" s="101"/>
      <c r="AF38" s="309">
        <v>72</v>
      </c>
      <c r="AG38" s="309"/>
      <c r="AH38" s="309"/>
      <c r="AI38" s="309"/>
      <c r="AJ38" s="309"/>
      <c r="AK38" s="309"/>
      <c r="AL38" s="309"/>
      <c r="AM38" s="309">
        <v>182</v>
      </c>
      <c r="AN38" s="309"/>
      <c r="AO38" s="309"/>
      <c r="AP38" s="309"/>
      <c r="AQ38" s="309"/>
      <c r="AR38" s="309"/>
      <c r="AS38" s="309"/>
      <c r="AT38" s="311"/>
    </row>
    <row r="39" spans="1:46" ht="15" customHeight="1">
      <c r="A39" s="83"/>
      <c r="B39" s="83"/>
      <c r="C39" s="83"/>
      <c r="D39" s="83"/>
      <c r="E39" s="83"/>
      <c r="F39" s="83"/>
      <c r="G39" s="83"/>
      <c r="H39" s="83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03"/>
      <c r="AM39" s="284"/>
      <c r="AN39" s="284"/>
      <c r="AO39" s="284"/>
      <c r="AP39" s="284"/>
      <c r="AQ39" s="284"/>
      <c r="AR39" s="284"/>
      <c r="AS39" s="284"/>
      <c r="AT39" s="284"/>
    </row>
    <row r="40" spans="1:46" ht="15" customHeight="1">
      <c r="A40" s="83"/>
      <c r="B40" s="83"/>
      <c r="C40" s="83"/>
      <c r="D40" s="83"/>
      <c r="E40" s="83"/>
      <c r="F40" s="83"/>
      <c r="G40" s="83"/>
      <c r="H40" s="83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</row>
    <row r="41" spans="1:46" ht="15" customHeight="1">
      <c r="A41" s="83"/>
      <c r="B41" s="83"/>
      <c r="C41" s="83"/>
      <c r="D41" s="83"/>
      <c r="E41" s="83"/>
      <c r="F41" s="83"/>
      <c r="G41" s="83"/>
      <c r="H41" s="83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</row>
    <row r="42" spans="1:46" ht="15" customHeight="1">
      <c r="A42" s="83"/>
      <c r="B42" s="83"/>
      <c r="C42" s="83"/>
      <c r="D42" s="83"/>
      <c r="E42" s="83"/>
      <c r="F42" s="83"/>
      <c r="G42" s="83"/>
      <c r="H42" s="83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</row>
    <row r="43" spans="1:46" ht="15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</row>
    <row r="44" spans="1:46" ht="15" customHeight="1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</row>
    <row r="45" spans="1:46" ht="15" customHeight="1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</row>
    <row r="46" spans="1:46" ht="15" customHeight="1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</row>
    <row r="47" spans="1:46" ht="1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</row>
    <row r="48" spans="1:46" ht="1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</row>
    <row r="49" spans="1:46" ht="1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</row>
    <row r="50" spans="1:46" ht="15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</row>
    <row r="51" spans="1:46" ht="1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</row>
    <row r="52" ht="13.5">
      <c r="AM52" s="203"/>
    </row>
    <row r="54" spans="1:40" ht="13.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</row>
    <row r="55" spans="1:40" ht="13.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</row>
    <row r="56" spans="1:40" ht="13.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312"/>
      <c r="AB56" s="312"/>
      <c r="AC56" s="312"/>
      <c r="AD56" s="312"/>
      <c r="AE56" s="312"/>
      <c r="AF56" s="312"/>
      <c r="AG56" s="312"/>
      <c r="AH56" s="83"/>
      <c r="AI56" s="83"/>
      <c r="AJ56" s="83"/>
      <c r="AK56" s="83"/>
      <c r="AL56" s="83"/>
      <c r="AM56" s="83"/>
      <c r="AN56" s="83"/>
    </row>
  </sheetData>
  <sheetProtection/>
  <mergeCells count="215">
    <mergeCell ref="A38:I38"/>
    <mergeCell ref="J38:Q38"/>
    <mergeCell ref="R38:X38"/>
    <mergeCell ref="Y38:AE38"/>
    <mergeCell ref="AF38:AL38"/>
    <mergeCell ref="AM38:AT38"/>
    <mergeCell ref="A37:I37"/>
    <mergeCell ref="J37:Q37"/>
    <mergeCell ref="R37:X37"/>
    <mergeCell ref="Y37:AE37"/>
    <mergeCell ref="AF37:AL37"/>
    <mergeCell ref="AM37:AT37"/>
    <mergeCell ref="A36:I36"/>
    <mergeCell ref="J36:Q36"/>
    <mergeCell ref="R36:X36"/>
    <mergeCell ref="Y36:AE36"/>
    <mergeCell ref="AF36:AL36"/>
    <mergeCell ref="AM36:AT36"/>
    <mergeCell ref="A35:I35"/>
    <mergeCell ref="J35:Q35"/>
    <mergeCell ref="R35:X35"/>
    <mergeCell ref="Y35:AE35"/>
    <mergeCell ref="AF35:AL35"/>
    <mergeCell ref="AM35:AT35"/>
    <mergeCell ref="A34:I34"/>
    <mergeCell ref="J34:Q34"/>
    <mergeCell ref="R34:X34"/>
    <mergeCell ref="Y34:AE34"/>
    <mergeCell ref="AF34:AL34"/>
    <mergeCell ref="AM34:AT34"/>
    <mergeCell ref="A33:I33"/>
    <mergeCell ref="J33:Q33"/>
    <mergeCell ref="R33:X33"/>
    <mergeCell ref="Y33:AE33"/>
    <mergeCell ref="AF33:AL33"/>
    <mergeCell ref="AM33:AT33"/>
    <mergeCell ref="A32:I32"/>
    <mergeCell ref="J32:Q32"/>
    <mergeCell ref="R32:X32"/>
    <mergeCell ref="Y32:AE32"/>
    <mergeCell ref="AF32:AL32"/>
    <mergeCell ref="AM32:AT32"/>
    <mergeCell ref="A31:I31"/>
    <mergeCell ref="J31:Q31"/>
    <mergeCell ref="R31:X31"/>
    <mergeCell ref="Y31:AE31"/>
    <mergeCell ref="AF31:AL31"/>
    <mergeCell ref="AM31:AT31"/>
    <mergeCell ref="A30:I30"/>
    <mergeCell ref="J30:Q30"/>
    <mergeCell ref="R30:X30"/>
    <mergeCell ref="Y30:AE30"/>
    <mergeCell ref="AF30:AL30"/>
    <mergeCell ref="AM30:AT30"/>
    <mergeCell ref="A29:I29"/>
    <mergeCell ref="J29:Q29"/>
    <mergeCell ref="R29:X29"/>
    <mergeCell ref="Y29:AE29"/>
    <mergeCell ref="AF29:AL29"/>
    <mergeCell ref="AM29:AT29"/>
    <mergeCell ref="A28:I28"/>
    <mergeCell ref="J28:Q28"/>
    <mergeCell ref="R28:X28"/>
    <mergeCell ref="Y28:AE28"/>
    <mergeCell ref="AF28:AL28"/>
    <mergeCell ref="AM28:AT28"/>
    <mergeCell ref="A27:I27"/>
    <mergeCell ref="J27:Q27"/>
    <mergeCell ref="R27:X27"/>
    <mergeCell ref="Y27:AE27"/>
    <mergeCell ref="AF27:AL27"/>
    <mergeCell ref="AM27:AT27"/>
    <mergeCell ref="A26:I26"/>
    <mergeCell ref="J26:Q26"/>
    <mergeCell ref="R26:X26"/>
    <mergeCell ref="Y26:AE26"/>
    <mergeCell ref="AF26:AL26"/>
    <mergeCell ref="AM26:AT26"/>
    <mergeCell ref="AQ18:AT18"/>
    <mergeCell ref="A23:I25"/>
    <mergeCell ref="J23:AT23"/>
    <mergeCell ref="J24:Q25"/>
    <mergeCell ref="R24:AL24"/>
    <mergeCell ref="AM24:AT25"/>
    <mergeCell ref="R25:X25"/>
    <mergeCell ref="Y25:AE25"/>
    <mergeCell ref="AF25:AL25"/>
    <mergeCell ref="AM17:AP17"/>
    <mergeCell ref="AQ17:AT17"/>
    <mergeCell ref="A18:F18"/>
    <mergeCell ref="G18:K18"/>
    <mergeCell ref="L18:P18"/>
    <mergeCell ref="Q18:U18"/>
    <mergeCell ref="V18:Z18"/>
    <mergeCell ref="AC18:AH18"/>
    <mergeCell ref="AI18:AL18"/>
    <mergeCell ref="AM18:AP18"/>
    <mergeCell ref="AI16:AL16"/>
    <mergeCell ref="AM16:AP16"/>
    <mergeCell ref="AQ16:AT16"/>
    <mergeCell ref="A17:F17"/>
    <mergeCell ref="G17:K17"/>
    <mergeCell ref="L17:P17"/>
    <mergeCell ref="Q17:U17"/>
    <mergeCell ref="V17:Z17"/>
    <mergeCell ref="AC17:AH17"/>
    <mergeCell ref="AI17:AL17"/>
    <mergeCell ref="A16:F16"/>
    <mergeCell ref="G16:K16"/>
    <mergeCell ref="L16:P16"/>
    <mergeCell ref="Q16:U16"/>
    <mergeCell ref="V16:Z16"/>
    <mergeCell ref="AC16:AH16"/>
    <mergeCell ref="AQ14:AT14"/>
    <mergeCell ref="A15:F15"/>
    <mergeCell ref="G15:K15"/>
    <mergeCell ref="L15:P15"/>
    <mergeCell ref="Q15:U15"/>
    <mergeCell ref="V15:Z15"/>
    <mergeCell ref="AC15:AH15"/>
    <mergeCell ref="AI15:AL15"/>
    <mergeCell ref="AM15:AP15"/>
    <mergeCell ref="AQ15:AT15"/>
    <mergeCell ref="AM13:AP13"/>
    <mergeCell ref="AQ13:AT13"/>
    <mergeCell ref="A14:F14"/>
    <mergeCell ref="G14:K14"/>
    <mergeCell ref="L14:P14"/>
    <mergeCell ref="Q14:U14"/>
    <mergeCell ref="V14:Z14"/>
    <mergeCell ref="AC14:AH14"/>
    <mergeCell ref="AI14:AL14"/>
    <mergeCell ref="AM14:AP14"/>
    <mergeCell ref="AI12:AL12"/>
    <mergeCell ref="AM12:AP12"/>
    <mergeCell ref="AQ12:AT12"/>
    <mergeCell ref="A13:F13"/>
    <mergeCell ref="G13:K13"/>
    <mergeCell ref="L13:P13"/>
    <mergeCell ref="Q13:U13"/>
    <mergeCell ref="V13:Z13"/>
    <mergeCell ref="AC13:AH13"/>
    <mergeCell ref="AI13:AL13"/>
    <mergeCell ref="A12:F12"/>
    <mergeCell ref="G12:K12"/>
    <mergeCell ref="L12:P12"/>
    <mergeCell ref="Q12:U12"/>
    <mergeCell ref="V12:Z12"/>
    <mergeCell ref="AC12:AH12"/>
    <mergeCell ref="AQ10:AT10"/>
    <mergeCell ref="A11:F11"/>
    <mergeCell ref="G11:K11"/>
    <mergeCell ref="L11:P11"/>
    <mergeCell ref="Q11:U11"/>
    <mergeCell ref="V11:Z11"/>
    <mergeCell ref="AC11:AH11"/>
    <mergeCell ref="AI11:AL11"/>
    <mergeCell ref="AM11:AP11"/>
    <mergeCell ref="AQ11:AT11"/>
    <mergeCell ref="AM9:AP9"/>
    <mergeCell ref="AQ9:AT9"/>
    <mergeCell ref="A10:F10"/>
    <mergeCell ref="G10:K10"/>
    <mergeCell ref="L10:P10"/>
    <mergeCell ref="Q10:U10"/>
    <mergeCell ref="V10:Z10"/>
    <mergeCell ref="AC10:AH10"/>
    <mergeCell ref="AI10:AL10"/>
    <mergeCell ref="AM10:AP10"/>
    <mergeCell ref="AI8:AL8"/>
    <mergeCell ref="AM8:AP8"/>
    <mergeCell ref="AQ8:AT8"/>
    <mergeCell ref="A9:F9"/>
    <mergeCell ref="G9:K9"/>
    <mergeCell ref="L9:P9"/>
    <mergeCell ref="Q9:U9"/>
    <mergeCell ref="V9:Z9"/>
    <mergeCell ref="AC9:AH9"/>
    <mergeCell ref="AI9:AL9"/>
    <mergeCell ref="A8:F8"/>
    <mergeCell ref="G8:K8"/>
    <mergeCell ref="L8:P8"/>
    <mergeCell ref="Q8:U8"/>
    <mergeCell ref="V8:Z8"/>
    <mergeCell ref="AC8:AH8"/>
    <mergeCell ref="AQ6:AT6"/>
    <mergeCell ref="A7:F7"/>
    <mergeCell ref="G7:K7"/>
    <mergeCell ref="L7:P7"/>
    <mergeCell ref="Q7:U7"/>
    <mergeCell ref="V7:Z7"/>
    <mergeCell ref="AC7:AH7"/>
    <mergeCell ref="AI7:AL7"/>
    <mergeCell ref="AM7:AP7"/>
    <mergeCell ref="AQ7:AT7"/>
    <mergeCell ref="V5:Z5"/>
    <mergeCell ref="AM5:AP5"/>
    <mergeCell ref="A6:F6"/>
    <mergeCell ref="G6:K6"/>
    <mergeCell ref="L6:P6"/>
    <mergeCell ref="Q6:U6"/>
    <mergeCell ref="V6:Z6"/>
    <mergeCell ref="AC6:AH6"/>
    <mergeCell ref="AI6:AL6"/>
    <mergeCell ref="AM6:AP6"/>
    <mergeCell ref="AE2:AN3"/>
    <mergeCell ref="AO2:AT3"/>
    <mergeCell ref="A3:F5"/>
    <mergeCell ref="G3:K5"/>
    <mergeCell ref="L3:Z4"/>
    <mergeCell ref="AC4:AH5"/>
    <mergeCell ref="AI4:AL5"/>
    <mergeCell ref="AM4:AT4"/>
    <mergeCell ref="L5:P5"/>
    <mergeCell ref="Q5:U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&amp;P+38 -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48"/>
  <sheetViews>
    <sheetView zoomScaleSheetLayoutView="100" workbookViewId="0" topLeftCell="A1">
      <selection activeCell="G15" sqref="G15"/>
    </sheetView>
  </sheetViews>
  <sheetFormatPr defaultColWidth="9.00390625" defaultRowHeight="13.5"/>
  <cols>
    <col min="1" max="1" width="3.125" style="0" customWidth="1"/>
    <col min="2" max="2" width="1.00390625" style="0" customWidth="1"/>
    <col min="3" max="3" width="18.625" style="0" customWidth="1"/>
    <col min="4" max="4" width="6.75390625" style="0" customWidth="1"/>
    <col min="5" max="5" width="6.00390625" style="0" customWidth="1"/>
    <col min="6" max="6" width="4.875" style="0" customWidth="1"/>
    <col min="7" max="7" width="5.25390625" style="0" customWidth="1"/>
    <col min="8" max="8" width="4.625" style="0" customWidth="1"/>
    <col min="9" max="9" width="5.375" style="0" customWidth="1"/>
    <col min="10" max="13" width="5.125" style="0" customWidth="1"/>
    <col min="14" max="15" width="5.25390625" style="0" customWidth="1"/>
    <col min="16" max="16" width="5.375" style="0" customWidth="1"/>
    <col min="17" max="17" width="5.25390625" style="0" customWidth="1"/>
    <col min="18" max="18" width="5.375" style="0" customWidth="1"/>
    <col min="19" max="19" width="5.125" style="0" customWidth="1"/>
    <col min="20" max="20" width="5.875" style="0" customWidth="1"/>
    <col min="21" max="21" width="5.125" style="0" customWidth="1"/>
    <col min="22" max="22" width="5.875" style="0" customWidth="1"/>
    <col min="23" max="23" width="5.125" style="0" customWidth="1"/>
    <col min="24" max="24" width="5.875" style="0" customWidth="1"/>
    <col min="25" max="25" width="5.125" style="0" customWidth="1"/>
    <col min="26" max="26" width="5.875" style="0" customWidth="1"/>
    <col min="27" max="27" width="5.125" style="0" customWidth="1"/>
    <col min="28" max="28" width="5.875" style="0" customWidth="1"/>
    <col min="29" max="29" width="5.125" style="0" customWidth="1"/>
    <col min="30" max="30" width="5.875" style="0" customWidth="1"/>
    <col min="31" max="31" width="5.125" style="0" customWidth="1"/>
  </cols>
  <sheetData>
    <row r="1" spans="1:31" ht="18" customHeight="1">
      <c r="A1" s="313" t="s">
        <v>141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4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13.5">
      <c r="A3" s="314" t="s">
        <v>142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</row>
    <row r="4" spans="16:30" ht="12.75" customHeight="1" thickBot="1">
      <c r="P4" s="27"/>
      <c r="Q4" s="27"/>
      <c r="AD4" s="42" t="s">
        <v>143</v>
      </c>
    </row>
    <row r="5" spans="1:31" ht="22.5" customHeight="1">
      <c r="A5" s="315" t="s">
        <v>144</v>
      </c>
      <c r="B5" s="103"/>
      <c r="C5" s="165"/>
      <c r="D5" s="316" t="s">
        <v>19</v>
      </c>
      <c r="E5" s="316"/>
      <c r="F5" s="165" t="s">
        <v>145</v>
      </c>
      <c r="G5" s="316"/>
      <c r="H5" s="316" t="s">
        <v>146</v>
      </c>
      <c r="I5" s="316"/>
      <c r="J5" s="316" t="s">
        <v>147</v>
      </c>
      <c r="K5" s="316"/>
      <c r="L5" s="316" t="s">
        <v>148</v>
      </c>
      <c r="M5" s="102"/>
      <c r="N5" s="316" t="s">
        <v>149</v>
      </c>
      <c r="O5" s="316"/>
      <c r="P5" s="316" t="s">
        <v>150</v>
      </c>
      <c r="Q5" s="316"/>
      <c r="R5" s="165" t="s">
        <v>151</v>
      </c>
      <c r="S5" s="316"/>
      <c r="T5" s="316" t="s">
        <v>152</v>
      </c>
      <c r="U5" s="316"/>
      <c r="V5" s="316" t="s">
        <v>153</v>
      </c>
      <c r="W5" s="316"/>
      <c r="X5" s="316" t="s">
        <v>154</v>
      </c>
      <c r="Y5" s="316"/>
      <c r="Z5" s="316" t="s">
        <v>155</v>
      </c>
      <c r="AA5" s="316"/>
      <c r="AB5" s="316" t="s">
        <v>156</v>
      </c>
      <c r="AC5" s="316"/>
      <c r="AD5" s="316" t="s">
        <v>157</v>
      </c>
      <c r="AE5" s="317"/>
    </row>
    <row r="6" spans="1:31" ht="16.5" customHeight="1">
      <c r="A6" s="318"/>
      <c r="B6" s="105"/>
      <c r="C6" s="177"/>
      <c r="D6" s="66"/>
      <c r="E6" s="319" t="s">
        <v>158</v>
      </c>
      <c r="F6" s="67"/>
      <c r="G6" s="319" t="s">
        <v>158</v>
      </c>
      <c r="H6" s="67"/>
      <c r="I6" s="319" t="s">
        <v>158</v>
      </c>
      <c r="J6" s="67"/>
      <c r="K6" s="319" t="s">
        <v>158</v>
      </c>
      <c r="L6" s="66"/>
      <c r="M6" s="319" t="s">
        <v>158</v>
      </c>
      <c r="N6" s="320"/>
      <c r="O6" s="319" t="s">
        <v>158</v>
      </c>
      <c r="P6" s="320"/>
      <c r="Q6" s="319" t="s">
        <v>158</v>
      </c>
      <c r="R6" s="67"/>
      <c r="S6" s="319" t="s">
        <v>158</v>
      </c>
      <c r="T6" s="66"/>
      <c r="U6" s="319" t="s">
        <v>158</v>
      </c>
      <c r="V6" s="66"/>
      <c r="W6" s="319" t="s">
        <v>158</v>
      </c>
      <c r="X6" s="66"/>
      <c r="Y6" s="319" t="s">
        <v>158</v>
      </c>
      <c r="Z6" s="66"/>
      <c r="AA6" s="319" t="s">
        <v>158</v>
      </c>
      <c r="AB6" s="66"/>
      <c r="AC6" s="319" t="s">
        <v>158</v>
      </c>
      <c r="AD6" s="66"/>
      <c r="AE6" s="321" t="s">
        <v>158</v>
      </c>
    </row>
    <row r="7" spans="1:32" s="60" customFormat="1" ht="19.5" customHeight="1">
      <c r="A7" s="322" t="s">
        <v>159</v>
      </c>
      <c r="B7" s="323"/>
      <c r="C7" s="324" t="s">
        <v>160</v>
      </c>
      <c r="D7" s="325">
        <f aca="true" t="shared" si="0" ref="D7:AE9">D11+D14+D17+D20+D23+D26+D29+D32+D35+D38+D41+D44</f>
        <v>10769</v>
      </c>
      <c r="E7" s="326">
        <f t="shared" si="0"/>
        <v>5388</v>
      </c>
      <c r="F7" s="325">
        <f t="shared" si="0"/>
        <v>446</v>
      </c>
      <c r="G7" s="326">
        <f t="shared" si="0"/>
        <v>234</v>
      </c>
      <c r="H7" s="325">
        <f t="shared" si="0"/>
        <v>445</v>
      </c>
      <c r="I7" s="326">
        <f t="shared" si="0"/>
        <v>226</v>
      </c>
      <c r="J7" s="325">
        <f t="shared" si="0"/>
        <v>497</v>
      </c>
      <c r="K7" s="326">
        <f t="shared" si="0"/>
        <v>285</v>
      </c>
      <c r="L7" s="325">
        <f t="shared" si="0"/>
        <v>515</v>
      </c>
      <c r="M7" s="326">
        <f t="shared" si="0"/>
        <v>287</v>
      </c>
      <c r="N7" s="325">
        <f t="shared" si="0"/>
        <v>523</v>
      </c>
      <c r="O7" s="326">
        <f t="shared" si="0"/>
        <v>285</v>
      </c>
      <c r="P7" s="325">
        <f t="shared" si="0"/>
        <v>510</v>
      </c>
      <c r="Q7" s="326">
        <f t="shared" si="0"/>
        <v>271</v>
      </c>
      <c r="R7" s="325">
        <f t="shared" si="0"/>
        <v>517</v>
      </c>
      <c r="S7" s="326">
        <f t="shared" si="0"/>
        <v>279</v>
      </c>
      <c r="T7" s="325">
        <f t="shared" si="0"/>
        <v>681</v>
      </c>
      <c r="U7" s="326">
        <f t="shared" si="0"/>
        <v>321</v>
      </c>
      <c r="V7" s="325">
        <f t="shared" si="0"/>
        <v>880</v>
      </c>
      <c r="W7" s="326">
        <f t="shared" si="0"/>
        <v>462</v>
      </c>
      <c r="X7" s="325">
        <f t="shared" si="0"/>
        <v>1163</v>
      </c>
      <c r="Y7" s="326">
        <f t="shared" si="0"/>
        <v>592</v>
      </c>
      <c r="Z7" s="325">
        <f t="shared" si="0"/>
        <v>917</v>
      </c>
      <c r="AA7" s="326">
        <f t="shared" si="0"/>
        <v>540</v>
      </c>
      <c r="AB7" s="325">
        <f t="shared" si="0"/>
        <v>664</v>
      </c>
      <c r="AC7" s="326">
        <f t="shared" si="0"/>
        <v>324</v>
      </c>
      <c r="AD7" s="325">
        <f t="shared" si="0"/>
        <v>2029</v>
      </c>
      <c r="AE7" s="327">
        <f t="shared" si="0"/>
        <v>787</v>
      </c>
      <c r="AF7" s="328"/>
    </row>
    <row r="8" spans="1:32" s="60" customFormat="1" ht="19.5" customHeight="1">
      <c r="A8" s="329"/>
      <c r="B8" s="330"/>
      <c r="C8" s="331" t="s">
        <v>161</v>
      </c>
      <c r="D8" s="332">
        <f t="shared" si="0"/>
        <v>7210</v>
      </c>
      <c r="E8" s="333">
        <f t="shared" si="0"/>
        <v>4082</v>
      </c>
      <c r="F8" s="332">
        <f t="shared" si="0"/>
        <v>117</v>
      </c>
      <c r="G8" s="333">
        <f t="shared" si="0"/>
        <v>74</v>
      </c>
      <c r="H8" s="332">
        <f t="shared" si="0"/>
        <v>221</v>
      </c>
      <c r="I8" s="333">
        <f t="shared" si="0"/>
        <v>129</v>
      </c>
      <c r="J8" s="332">
        <f t="shared" si="0"/>
        <v>295</v>
      </c>
      <c r="K8" s="333">
        <f t="shared" si="0"/>
        <v>211</v>
      </c>
      <c r="L8" s="332">
        <f t="shared" si="0"/>
        <v>355</v>
      </c>
      <c r="M8" s="333">
        <f t="shared" si="0"/>
        <v>238</v>
      </c>
      <c r="N8" s="332">
        <f t="shared" si="0"/>
        <v>347</v>
      </c>
      <c r="O8" s="333">
        <f t="shared" si="0"/>
        <v>226</v>
      </c>
      <c r="P8" s="332">
        <f t="shared" si="0"/>
        <v>359</v>
      </c>
      <c r="Q8" s="333">
        <f t="shared" si="0"/>
        <v>224</v>
      </c>
      <c r="R8" s="332">
        <f t="shared" si="0"/>
        <v>410</v>
      </c>
      <c r="S8" s="333">
        <f t="shared" si="0"/>
        <v>244</v>
      </c>
      <c r="T8" s="332">
        <f t="shared" si="0"/>
        <v>574</v>
      </c>
      <c r="U8" s="333">
        <f t="shared" si="0"/>
        <v>298</v>
      </c>
      <c r="V8" s="332">
        <f t="shared" si="0"/>
        <v>803</v>
      </c>
      <c r="W8" s="333">
        <f t="shared" si="0"/>
        <v>452</v>
      </c>
      <c r="X8" s="332">
        <f t="shared" si="0"/>
        <v>1102</v>
      </c>
      <c r="Y8" s="333">
        <f t="shared" si="0"/>
        <v>587</v>
      </c>
      <c r="Z8" s="332">
        <f t="shared" si="0"/>
        <v>885</v>
      </c>
      <c r="AA8" s="333">
        <f t="shared" si="0"/>
        <v>532</v>
      </c>
      <c r="AB8" s="332">
        <f t="shared" si="0"/>
        <v>612</v>
      </c>
      <c r="AC8" s="333">
        <f t="shared" si="0"/>
        <v>311</v>
      </c>
      <c r="AD8" s="332">
        <f t="shared" si="0"/>
        <v>1130</v>
      </c>
      <c r="AE8" s="334">
        <f t="shared" si="0"/>
        <v>556</v>
      </c>
      <c r="AF8" s="328"/>
    </row>
    <row r="9" spans="1:32" s="60" customFormat="1" ht="19.5" customHeight="1">
      <c r="A9" s="335"/>
      <c r="B9" s="330"/>
      <c r="C9" s="336" t="s">
        <v>162</v>
      </c>
      <c r="D9" s="337">
        <f t="shared" si="0"/>
        <v>3933</v>
      </c>
      <c r="E9" s="338">
        <f t="shared" si="0"/>
        <v>2040</v>
      </c>
      <c r="F9" s="337">
        <f t="shared" si="0"/>
        <v>101</v>
      </c>
      <c r="G9" s="338">
        <f t="shared" si="0"/>
        <v>64</v>
      </c>
      <c r="H9" s="337">
        <f t="shared" si="0"/>
        <v>56</v>
      </c>
      <c r="I9" s="338">
        <f t="shared" si="0"/>
        <v>31</v>
      </c>
      <c r="J9" s="337">
        <f t="shared" si="0"/>
        <v>57</v>
      </c>
      <c r="K9" s="338">
        <f t="shared" si="0"/>
        <v>35</v>
      </c>
      <c r="L9" s="337">
        <f t="shared" si="0"/>
        <v>65</v>
      </c>
      <c r="M9" s="338">
        <f t="shared" si="0"/>
        <v>37</v>
      </c>
      <c r="N9" s="337">
        <f t="shared" si="0"/>
        <v>67</v>
      </c>
      <c r="O9" s="338">
        <f t="shared" si="0"/>
        <v>33</v>
      </c>
      <c r="P9" s="337">
        <f t="shared" si="0"/>
        <v>65</v>
      </c>
      <c r="Q9" s="338">
        <f t="shared" si="0"/>
        <v>42</v>
      </c>
      <c r="R9" s="337">
        <f t="shared" si="0"/>
        <v>74</v>
      </c>
      <c r="S9" s="338">
        <f t="shared" si="0"/>
        <v>43</v>
      </c>
      <c r="T9" s="337">
        <f t="shared" si="0"/>
        <v>146</v>
      </c>
      <c r="U9" s="338">
        <f t="shared" si="0"/>
        <v>76</v>
      </c>
      <c r="V9" s="337">
        <f t="shared" si="0"/>
        <v>244</v>
      </c>
      <c r="W9" s="338">
        <f t="shared" si="0"/>
        <v>114</v>
      </c>
      <c r="X9" s="337">
        <f t="shared" si="0"/>
        <v>655</v>
      </c>
      <c r="Y9" s="338">
        <f t="shared" si="0"/>
        <v>317</v>
      </c>
      <c r="Z9" s="337">
        <f t="shared" si="0"/>
        <v>729</v>
      </c>
      <c r="AA9" s="338">
        <f t="shared" si="0"/>
        <v>418</v>
      </c>
      <c r="AB9" s="337">
        <f t="shared" si="0"/>
        <v>577</v>
      </c>
      <c r="AC9" s="338">
        <f t="shared" si="0"/>
        <v>291</v>
      </c>
      <c r="AD9" s="337">
        <f t="shared" si="0"/>
        <v>1097</v>
      </c>
      <c r="AE9" s="339">
        <f t="shared" si="0"/>
        <v>539</v>
      </c>
      <c r="AF9" s="328"/>
    </row>
    <row r="10" spans="1:31" s="352" customFormat="1" ht="19.5" customHeight="1">
      <c r="A10" s="340"/>
      <c r="B10" s="341"/>
      <c r="C10" s="342" t="s">
        <v>163</v>
      </c>
      <c r="D10" s="343">
        <f>F10+H10+J10+L10+N10+P10+R10+T10+V10+X10+Z10+AB10+AD10</f>
        <v>2982</v>
      </c>
      <c r="E10" s="344">
        <f>G10+I10+K10+M10+O10+Q10+S10+U10+W10+Y10+AA10+AC10+AE10</f>
        <v>1817</v>
      </c>
      <c r="F10" s="345">
        <v>2</v>
      </c>
      <c r="G10" s="346">
        <v>2</v>
      </c>
      <c r="H10" s="347">
        <v>8</v>
      </c>
      <c r="I10" s="348">
        <v>6</v>
      </c>
      <c r="J10" s="345">
        <v>28</v>
      </c>
      <c r="K10" s="346">
        <v>25</v>
      </c>
      <c r="L10" s="347">
        <v>40</v>
      </c>
      <c r="M10" s="348">
        <v>33</v>
      </c>
      <c r="N10" s="345">
        <v>39</v>
      </c>
      <c r="O10" s="346">
        <v>31</v>
      </c>
      <c r="P10" s="349">
        <v>44</v>
      </c>
      <c r="Q10" s="346">
        <v>37</v>
      </c>
      <c r="R10" s="345">
        <v>62</v>
      </c>
      <c r="S10" s="350">
        <v>42</v>
      </c>
      <c r="T10" s="345">
        <v>108</v>
      </c>
      <c r="U10" s="350">
        <v>73</v>
      </c>
      <c r="V10" s="345">
        <v>190</v>
      </c>
      <c r="W10" s="346">
        <v>109</v>
      </c>
      <c r="X10" s="345">
        <v>531</v>
      </c>
      <c r="Y10" s="350">
        <v>310</v>
      </c>
      <c r="Z10" s="345">
        <v>645</v>
      </c>
      <c r="AA10" s="346">
        <v>410</v>
      </c>
      <c r="AB10" s="350">
        <v>493</v>
      </c>
      <c r="AC10" s="346">
        <v>279</v>
      </c>
      <c r="AD10" s="345">
        <f>480+225+87</f>
        <v>792</v>
      </c>
      <c r="AE10" s="351">
        <f>286+128+46</f>
        <v>460</v>
      </c>
    </row>
    <row r="11" spans="1:31" ht="16.5" customHeight="1">
      <c r="A11" s="353" t="s">
        <v>68</v>
      </c>
      <c r="B11" s="354"/>
      <c r="C11" s="355" t="s">
        <v>160</v>
      </c>
      <c r="D11" s="349">
        <v>652</v>
      </c>
      <c r="E11" s="346">
        <v>313</v>
      </c>
      <c r="F11" s="356">
        <v>16</v>
      </c>
      <c r="G11" s="357">
        <v>6</v>
      </c>
      <c r="H11" s="358">
        <v>24</v>
      </c>
      <c r="I11" s="356">
        <v>7</v>
      </c>
      <c r="J11" s="358">
        <v>39</v>
      </c>
      <c r="K11" s="359">
        <v>21</v>
      </c>
      <c r="L11" s="356">
        <v>38</v>
      </c>
      <c r="M11" s="359">
        <v>23</v>
      </c>
      <c r="N11" s="356">
        <v>41</v>
      </c>
      <c r="O11" s="360">
        <v>20</v>
      </c>
      <c r="P11" s="358">
        <v>33</v>
      </c>
      <c r="Q11" s="360">
        <v>16</v>
      </c>
      <c r="R11" s="358">
        <v>20</v>
      </c>
      <c r="S11" s="361">
        <v>12</v>
      </c>
      <c r="T11" s="358">
        <v>39</v>
      </c>
      <c r="U11" s="359">
        <v>21</v>
      </c>
      <c r="V11" s="356">
        <v>59</v>
      </c>
      <c r="W11" s="359">
        <v>28</v>
      </c>
      <c r="X11" s="356">
        <v>75</v>
      </c>
      <c r="Y11" s="361">
        <v>36</v>
      </c>
      <c r="Z11" s="358">
        <v>61</v>
      </c>
      <c r="AA11" s="361">
        <v>40</v>
      </c>
      <c r="AB11" s="358">
        <v>42</v>
      </c>
      <c r="AC11" s="359">
        <v>18</v>
      </c>
      <c r="AD11" s="356">
        <f>37+34+50</f>
        <v>121</v>
      </c>
      <c r="AE11" s="362">
        <f>21+9+18</f>
        <v>48</v>
      </c>
    </row>
    <row r="12" spans="1:31" s="60" customFormat="1" ht="16.5" customHeight="1">
      <c r="A12" s="363"/>
      <c r="B12" s="364"/>
      <c r="C12" s="365" t="s">
        <v>161</v>
      </c>
      <c r="D12" s="366">
        <f>F12+H12+J12+L12+N12+P12+R12+T12+V12+X12+Z12+AB12+AD12</f>
        <v>424</v>
      </c>
      <c r="E12" s="333">
        <f>G12+I12+K12+M12+O12+Q12+S12+U12+W12+Y12+AA12+AC12+AE12</f>
        <v>238</v>
      </c>
      <c r="F12" s="367">
        <v>2</v>
      </c>
      <c r="G12" s="368">
        <v>2</v>
      </c>
      <c r="H12" s="367">
        <v>8</v>
      </c>
      <c r="I12" s="368">
        <v>3</v>
      </c>
      <c r="J12" s="367">
        <v>23</v>
      </c>
      <c r="K12" s="368">
        <v>15</v>
      </c>
      <c r="L12" s="367">
        <v>26</v>
      </c>
      <c r="M12" s="368">
        <v>19</v>
      </c>
      <c r="N12" s="369">
        <v>27</v>
      </c>
      <c r="O12" s="368">
        <v>12</v>
      </c>
      <c r="P12" s="370">
        <v>19</v>
      </c>
      <c r="Q12" s="371">
        <v>11</v>
      </c>
      <c r="R12" s="367">
        <v>13</v>
      </c>
      <c r="S12" s="368">
        <v>9</v>
      </c>
      <c r="T12" s="369">
        <v>35</v>
      </c>
      <c r="U12" s="368">
        <v>19</v>
      </c>
      <c r="V12" s="367">
        <v>54</v>
      </c>
      <c r="W12" s="368">
        <v>27</v>
      </c>
      <c r="X12" s="367">
        <v>71</v>
      </c>
      <c r="Y12" s="368">
        <v>36</v>
      </c>
      <c r="Z12" s="367">
        <v>56</v>
      </c>
      <c r="AA12" s="368">
        <v>39</v>
      </c>
      <c r="AB12" s="367">
        <v>41</v>
      </c>
      <c r="AC12" s="368">
        <v>18</v>
      </c>
      <c r="AD12" s="367">
        <f>31+13+5</f>
        <v>49</v>
      </c>
      <c r="AE12" s="372">
        <f>20+4+4</f>
        <v>28</v>
      </c>
    </row>
    <row r="13" spans="1:31" s="60" customFormat="1" ht="16.5" customHeight="1">
      <c r="A13" s="373"/>
      <c r="B13" s="364"/>
      <c r="C13" s="374" t="s">
        <v>162</v>
      </c>
      <c r="D13" s="343">
        <f>F13+H13+J13+L13+N13+P13+R13+T13+V13+X13+Z13+AB13+AD13</f>
        <v>280</v>
      </c>
      <c r="E13" s="375">
        <f aca="true" t="shared" si="1" ref="E13:E46">G13+I13+K13+M13+O13+Q13+S13+U13+W13+Y13+AA13+AC13+AE13</f>
        <v>144</v>
      </c>
      <c r="F13" s="376">
        <v>2</v>
      </c>
      <c r="G13" s="377">
        <v>2</v>
      </c>
      <c r="H13" s="376">
        <v>2</v>
      </c>
      <c r="I13" s="377">
        <v>1</v>
      </c>
      <c r="J13" s="376">
        <v>9</v>
      </c>
      <c r="K13" s="377">
        <v>6</v>
      </c>
      <c r="L13" s="376">
        <v>9</v>
      </c>
      <c r="M13" s="377">
        <v>6</v>
      </c>
      <c r="N13" s="378">
        <v>10</v>
      </c>
      <c r="O13" s="377">
        <v>2</v>
      </c>
      <c r="P13" s="378">
        <v>6</v>
      </c>
      <c r="Q13" s="379">
        <v>4</v>
      </c>
      <c r="R13" s="376">
        <v>5</v>
      </c>
      <c r="S13" s="377">
        <v>2</v>
      </c>
      <c r="T13" s="376">
        <v>15</v>
      </c>
      <c r="U13" s="377">
        <v>7</v>
      </c>
      <c r="V13" s="376">
        <v>34</v>
      </c>
      <c r="W13" s="377">
        <v>14</v>
      </c>
      <c r="X13" s="376">
        <v>53</v>
      </c>
      <c r="Y13" s="377">
        <v>24</v>
      </c>
      <c r="Z13" s="376">
        <v>48</v>
      </c>
      <c r="AA13" s="377">
        <v>32</v>
      </c>
      <c r="AB13" s="376">
        <v>38</v>
      </c>
      <c r="AC13" s="377">
        <v>16</v>
      </c>
      <c r="AD13" s="376">
        <f>31+13+5</f>
        <v>49</v>
      </c>
      <c r="AE13" s="380">
        <f>20+4+4</f>
        <v>28</v>
      </c>
    </row>
    <row r="14" spans="1:32" ht="16.5" customHeight="1">
      <c r="A14" s="381" t="s">
        <v>69</v>
      </c>
      <c r="B14" s="354"/>
      <c r="C14" s="382" t="s">
        <v>160</v>
      </c>
      <c r="D14" s="349">
        <v>665</v>
      </c>
      <c r="E14" s="326">
        <v>323</v>
      </c>
      <c r="F14" s="383">
        <v>29</v>
      </c>
      <c r="G14" s="384">
        <v>16</v>
      </c>
      <c r="H14" s="383">
        <v>22</v>
      </c>
      <c r="I14" s="385">
        <v>11</v>
      </c>
      <c r="J14" s="383">
        <v>34</v>
      </c>
      <c r="K14" s="384">
        <v>14</v>
      </c>
      <c r="L14" s="383">
        <v>24</v>
      </c>
      <c r="M14" s="384">
        <v>16</v>
      </c>
      <c r="N14" s="383">
        <v>37</v>
      </c>
      <c r="O14" s="384">
        <v>19</v>
      </c>
      <c r="P14" s="386">
        <v>28</v>
      </c>
      <c r="Q14" s="385">
        <v>16</v>
      </c>
      <c r="R14" s="386">
        <v>28</v>
      </c>
      <c r="S14" s="384">
        <v>13</v>
      </c>
      <c r="T14" s="383">
        <v>42</v>
      </c>
      <c r="U14" s="384">
        <v>23</v>
      </c>
      <c r="V14" s="383">
        <v>50</v>
      </c>
      <c r="W14" s="387">
        <v>22</v>
      </c>
      <c r="X14" s="386">
        <v>73</v>
      </c>
      <c r="Y14" s="384">
        <v>36</v>
      </c>
      <c r="Z14" s="383">
        <v>54</v>
      </c>
      <c r="AA14" s="384">
        <v>31</v>
      </c>
      <c r="AB14" s="383">
        <v>48</v>
      </c>
      <c r="AC14" s="384">
        <v>24</v>
      </c>
      <c r="AD14" s="383">
        <f>54+37+43</f>
        <v>134</v>
      </c>
      <c r="AE14" s="388">
        <f>24+18+13</f>
        <v>55</v>
      </c>
      <c r="AF14" s="27"/>
    </row>
    <row r="15" spans="1:32" s="60" customFormat="1" ht="16.5" customHeight="1">
      <c r="A15" s="389"/>
      <c r="B15" s="364"/>
      <c r="C15" s="365" t="s">
        <v>161</v>
      </c>
      <c r="D15" s="366">
        <f aca="true" t="shared" si="2" ref="D15:D46">F15+H15+J15+L15+N15+P15+R15+T15+V15+X15+Z15+AB15+AD15</f>
        <v>437</v>
      </c>
      <c r="E15" s="333">
        <f t="shared" si="1"/>
        <v>243</v>
      </c>
      <c r="F15" s="367">
        <v>5</v>
      </c>
      <c r="G15" s="368">
        <v>3</v>
      </c>
      <c r="H15" s="367">
        <v>11</v>
      </c>
      <c r="I15" s="368">
        <v>8</v>
      </c>
      <c r="J15" s="367">
        <v>15</v>
      </c>
      <c r="K15" s="368">
        <v>9</v>
      </c>
      <c r="L15" s="367">
        <v>15</v>
      </c>
      <c r="M15" s="368">
        <v>13</v>
      </c>
      <c r="N15" s="367">
        <v>22</v>
      </c>
      <c r="O15" s="368">
        <v>16</v>
      </c>
      <c r="P15" s="369">
        <v>19</v>
      </c>
      <c r="Q15" s="368">
        <v>13</v>
      </c>
      <c r="R15" s="367">
        <v>20</v>
      </c>
      <c r="S15" s="368">
        <v>11</v>
      </c>
      <c r="T15" s="367">
        <v>38</v>
      </c>
      <c r="U15" s="368">
        <v>22</v>
      </c>
      <c r="V15" s="367">
        <v>41</v>
      </c>
      <c r="W15" s="368">
        <v>20</v>
      </c>
      <c r="X15" s="367">
        <v>69</v>
      </c>
      <c r="Y15" s="368">
        <v>35</v>
      </c>
      <c r="Z15" s="367">
        <v>53</v>
      </c>
      <c r="AA15" s="368">
        <v>30</v>
      </c>
      <c r="AB15" s="367">
        <v>48</v>
      </c>
      <c r="AC15" s="368">
        <v>24</v>
      </c>
      <c r="AD15" s="367">
        <f>46+25+10</f>
        <v>81</v>
      </c>
      <c r="AE15" s="372">
        <f>22+13+4</f>
        <v>39</v>
      </c>
      <c r="AF15" s="328"/>
    </row>
    <row r="16" spans="1:32" s="60" customFormat="1" ht="16.5" customHeight="1">
      <c r="A16" s="390"/>
      <c r="B16" s="364"/>
      <c r="C16" s="374" t="s">
        <v>162</v>
      </c>
      <c r="D16" s="343">
        <f t="shared" si="2"/>
        <v>234</v>
      </c>
      <c r="E16" s="375">
        <f t="shared" si="1"/>
        <v>114</v>
      </c>
      <c r="F16" s="376">
        <v>3</v>
      </c>
      <c r="G16" s="377">
        <v>2</v>
      </c>
      <c r="H16" s="376">
        <v>1</v>
      </c>
      <c r="I16" s="377">
        <v>1</v>
      </c>
      <c r="J16" s="376">
        <v>2</v>
      </c>
      <c r="K16" s="377">
        <v>1</v>
      </c>
      <c r="L16" s="376">
        <v>1</v>
      </c>
      <c r="M16" s="377">
        <v>1</v>
      </c>
      <c r="N16" s="376">
        <v>2</v>
      </c>
      <c r="O16" s="377">
        <v>1</v>
      </c>
      <c r="P16" s="378">
        <v>4</v>
      </c>
      <c r="Q16" s="377">
        <v>3</v>
      </c>
      <c r="R16" s="376">
        <v>1</v>
      </c>
      <c r="S16" s="377">
        <v>1</v>
      </c>
      <c r="T16" s="376">
        <v>5</v>
      </c>
      <c r="U16" s="377">
        <v>2</v>
      </c>
      <c r="V16" s="376">
        <v>9</v>
      </c>
      <c r="W16" s="377">
        <v>3</v>
      </c>
      <c r="X16" s="376">
        <v>37</v>
      </c>
      <c r="Y16" s="377">
        <v>15</v>
      </c>
      <c r="Z16" s="376">
        <v>43</v>
      </c>
      <c r="AA16" s="377">
        <v>22</v>
      </c>
      <c r="AB16" s="376">
        <v>46</v>
      </c>
      <c r="AC16" s="377">
        <v>23</v>
      </c>
      <c r="AD16" s="376">
        <f>46+25+9</f>
        <v>80</v>
      </c>
      <c r="AE16" s="380">
        <f>22+13+4</f>
        <v>39</v>
      </c>
      <c r="AF16" s="328"/>
    </row>
    <row r="17" spans="1:32" ht="16.5" customHeight="1">
      <c r="A17" s="353" t="s">
        <v>164</v>
      </c>
      <c r="B17" s="354"/>
      <c r="C17" s="382" t="s">
        <v>160</v>
      </c>
      <c r="D17" s="349">
        <v>586</v>
      </c>
      <c r="E17" s="326">
        <v>300</v>
      </c>
      <c r="F17" s="383">
        <v>26</v>
      </c>
      <c r="G17" s="384">
        <v>15</v>
      </c>
      <c r="H17" s="383">
        <v>27</v>
      </c>
      <c r="I17" s="384">
        <v>13</v>
      </c>
      <c r="J17" s="383">
        <v>35</v>
      </c>
      <c r="K17" s="385">
        <v>22</v>
      </c>
      <c r="L17" s="383">
        <v>19</v>
      </c>
      <c r="M17" s="384">
        <v>9</v>
      </c>
      <c r="N17" s="383">
        <v>29</v>
      </c>
      <c r="O17" s="384">
        <v>15</v>
      </c>
      <c r="P17" s="386">
        <v>26</v>
      </c>
      <c r="Q17" s="384">
        <v>19</v>
      </c>
      <c r="R17" s="383">
        <v>42</v>
      </c>
      <c r="S17" s="384">
        <v>24</v>
      </c>
      <c r="T17" s="383">
        <v>39</v>
      </c>
      <c r="U17" s="384">
        <v>16</v>
      </c>
      <c r="V17" s="383">
        <v>48</v>
      </c>
      <c r="W17" s="384">
        <v>26</v>
      </c>
      <c r="X17" s="383">
        <v>58</v>
      </c>
      <c r="Y17" s="384">
        <v>29</v>
      </c>
      <c r="Z17" s="383">
        <v>56</v>
      </c>
      <c r="AA17" s="384">
        <v>34</v>
      </c>
      <c r="AB17" s="383">
        <v>27</v>
      </c>
      <c r="AC17" s="384">
        <v>15</v>
      </c>
      <c r="AD17" s="383">
        <f>50+30+29</f>
        <v>109</v>
      </c>
      <c r="AE17" s="388">
        <f>20+10+9</f>
        <v>39</v>
      </c>
      <c r="AF17" s="27"/>
    </row>
    <row r="18" spans="1:32" s="60" customFormat="1" ht="16.5" customHeight="1">
      <c r="A18" s="363"/>
      <c r="B18" s="364"/>
      <c r="C18" s="365" t="s">
        <v>161</v>
      </c>
      <c r="D18" s="366">
        <f t="shared" si="2"/>
        <v>407</v>
      </c>
      <c r="E18" s="333">
        <f t="shared" si="1"/>
        <v>241</v>
      </c>
      <c r="F18" s="367">
        <v>9</v>
      </c>
      <c r="G18" s="368">
        <v>8</v>
      </c>
      <c r="H18" s="367">
        <v>15</v>
      </c>
      <c r="I18" s="368">
        <v>8</v>
      </c>
      <c r="J18" s="367">
        <v>24</v>
      </c>
      <c r="K18" s="368">
        <v>20</v>
      </c>
      <c r="L18" s="367">
        <v>10</v>
      </c>
      <c r="M18" s="368">
        <v>6</v>
      </c>
      <c r="N18" s="367">
        <v>17</v>
      </c>
      <c r="O18" s="368">
        <v>11</v>
      </c>
      <c r="P18" s="370">
        <v>16</v>
      </c>
      <c r="Q18" s="371">
        <v>15</v>
      </c>
      <c r="R18" s="367">
        <v>36</v>
      </c>
      <c r="S18" s="368">
        <v>21</v>
      </c>
      <c r="T18" s="367">
        <v>33</v>
      </c>
      <c r="U18" s="368">
        <v>15</v>
      </c>
      <c r="V18" s="367">
        <v>45</v>
      </c>
      <c r="W18" s="368">
        <v>26</v>
      </c>
      <c r="X18" s="367">
        <v>57</v>
      </c>
      <c r="Y18" s="368">
        <v>29</v>
      </c>
      <c r="Z18" s="367">
        <v>53</v>
      </c>
      <c r="AA18" s="368">
        <v>34</v>
      </c>
      <c r="AB18" s="367">
        <v>23</v>
      </c>
      <c r="AC18" s="368">
        <v>15</v>
      </c>
      <c r="AD18" s="367">
        <f>45+19+5</f>
        <v>69</v>
      </c>
      <c r="AE18" s="372">
        <f>19+10+4</f>
        <v>33</v>
      </c>
      <c r="AF18" s="328"/>
    </row>
    <row r="19" spans="1:32" s="60" customFormat="1" ht="16.5" customHeight="1">
      <c r="A19" s="373"/>
      <c r="B19" s="364"/>
      <c r="C19" s="374" t="s">
        <v>162</v>
      </c>
      <c r="D19" s="343">
        <f t="shared" si="2"/>
        <v>209</v>
      </c>
      <c r="E19" s="375">
        <f t="shared" si="1"/>
        <v>115</v>
      </c>
      <c r="F19" s="376">
        <v>8</v>
      </c>
      <c r="G19" s="377">
        <v>8</v>
      </c>
      <c r="H19" s="376">
        <v>4</v>
      </c>
      <c r="I19" s="377">
        <v>2</v>
      </c>
      <c r="J19" s="376">
        <v>4</v>
      </c>
      <c r="K19" s="377">
        <v>3</v>
      </c>
      <c r="L19" s="376">
        <v>1</v>
      </c>
      <c r="M19" s="377">
        <v>0</v>
      </c>
      <c r="N19" s="376">
        <v>2</v>
      </c>
      <c r="O19" s="377">
        <v>1</v>
      </c>
      <c r="P19" s="391">
        <v>4</v>
      </c>
      <c r="Q19" s="379">
        <v>4</v>
      </c>
      <c r="R19" s="376">
        <v>3</v>
      </c>
      <c r="S19" s="377">
        <v>2</v>
      </c>
      <c r="T19" s="376">
        <v>7</v>
      </c>
      <c r="U19" s="377">
        <v>3</v>
      </c>
      <c r="V19" s="376">
        <v>10</v>
      </c>
      <c r="W19" s="377">
        <v>5</v>
      </c>
      <c r="X19" s="376">
        <v>34</v>
      </c>
      <c r="Y19" s="377">
        <v>17</v>
      </c>
      <c r="Z19" s="376">
        <v>43</v>
      </c>
      <c r="AA19" s="377">
        <v>24</v>
      </c>
      <c r="AB19" s="376">
        <v>21</v>
      </c>
      <c r="AC19" s="377">
        <v>13</v>
      </c>
      <c r="AD19" s="376">
        <f>45+18+5</f>
        <v>68</v>
      </c>
      <c r="AE19" s="380">
        <f>19+10+4</f>
        <v>33</v>
      </c>
      <c r="AF19" s="328"/>
    </row>
    <row r="20" spans="1:32" ht="16.5" customHeight="1">
      <c r="A20" s="353" t="s">
        <v>165</v>
      </c>
      <c r="B20" s="354"/>
      <c r="C20" s="382" t="s">
        <v>160</v>
      </c>
      <c r="D20" s="349">
        <v>154</v>
      </c>
      <c r="E20" s="326">
        <v>80</v>
      </c>
      <c r="F20" s="383">
        <v>7</v>
      </c>
      <c r="G20" s="384">
        <v>6</v>
      </c>
      <c r="H20" s="383">
        <v>6</v>
      </c>
      <c r="I20" s="384">
        <v>4</v>
      </c>
      <c r="J20" s="383">
        <v>7</v>
      </c>
      <c r="K20" s="385">
        <v>1</v>
      </c>
      <c r="L20" s="383">
        <v>5</v>
      </c>
      <c r="M20" s="384">
        <v>2</v>
      </c>
      <c r="N20" s="383">
        <v>2</v>
      </c>
      <c r="O20" s="384">
        <v>0</v>
      </c>
      <c r="P20" s="386">
        <v>6</v>
      </c>
      <c r="Q20" s="385">
        <v>4</v>
      </c>
      <c r="R20" s="383">
        <v>10</v>
      </c>
      <c r="S20" s="384">
        <v>5</v>
      </c>
      <c r="T20" s="383">
        <v>6</v>
      </c>
      <c r="U20" s="384">
        <v>2</v>
      </c>
      <c r="V20" s="383">
        <v>16</v>
      </c>
      <c r="W20" s="384">
        <v>11</v>
      </c>
      <c r="X20" s="383">
        <v>18</v>
      </c>
      <c r="Y20" s="384">
        <v>10</v>
      </c>
      <c r="Z20" s="383">
        <v>13</v>
      </c>
      <c r="AA20" s="384">
        <v>9</v>
      </c>
      <c r="AB20" s="383">
        <v>15</v>
      </c>
      <c r="AC20" s="384">
        <v>6</v>
      </c>
      <c r="AD20" s="383">
        <f>13+9+9</f>
        <v>31</v>
      </c>
      <c r="AE20" s="388">
        <f>6+3+4</f>
        <v>13</v>
      </c>
      <c r="AF20" s="27"/>
    </row>
    <row r="21" spans="1:32" s="60" customFormat="1" ht="16.5" customHeight="1">
      <c r="A21" s="363"/>
      <c r="B21" s="364"/>
      <c r="C21" s="365" t="s">
        <v>161</v>
      </c>
      <c r="D21" s="366">
        <f t="shared" si="2"/>
        <v>100</v>
      </c>
      <c r="E21" s="333">
        <f t="shared" si="1"/>
        <v>57</v>
      </c>
      <c r="F21" s="367">
        <v>1</v>
      </c>
      <c r="G21" s="368">
        <v>1</v>
      </c>
      <c r="H21" s="367">
        <v>1</v>
      </c>
      <c r="I21" s="368">
        <v>1</v>
      </c>
      <c r="J21" s="367">
        <v>5</v>
      </c>
      <c r="K21" s="368">
        <v>1</v>
      </c>
      <c r="L21" s="367">
        <v>5</v>
      </c>
      <c r="M21" s="368">
        <v>2</v>
      </c>
      <c r="N21" s="367">
        <v>0</v>
      </c>
      <c r="O21" s="368">
        <v>0</v>
      </c>
      <c r="P21" s="370">
        <v>4</v>
      </c>
      <c r="Q21" s="371">
        <v>3</v>
      </c>
      <c r="R21" s="367">
        <v>9</v>
      </c>
      <c r="S21" s="368">
        <v>5</v>
      </c>
      <c r="T21" s="367">
        <v>5</v>
      </c>
      <c r="U21" s="368">
        <v>2</v>
      </c>
      <c r="V21" s="367">
        <v>14</v>
      </c>
      <c r="W21" s="368">
        <v>11</v>
      </c>
      <c r="X21" s="367">
        <v>18</v>
      </c>
      <c r="Y21" s="368">
        <v>10</v>
      </c>
      <c r="Z21" s="367">
        <v>12</v>
      </c>
      <c r="AA21" s="368">
        <v>9</v>
      </c>
      <c r="AB21" s="367">
        <v>14</v>
      </c>
      <c r="AC21" s="368">
        <v>6</v>
      </c>
      <c r="AD21" s="367">
        <f>6+3+3</f>
        <v>12</v>
      </c>
      <c r="AE21" s="372">
        <f>3+1+2</f>
        <v>6</v>
      </c>
      <c r="AF21" s="328"/>
    </row>
    <row r="22" spans="1:32" s="60" customFormat="1" ht="16.5" customHeight="1">
      <c r="A22" s="373"/>
      <c r="B22" s="364"/>
      <c r="C22" s="374" t="s">
        <v>162</v>
      </c>
      <c r="D22" s="343">
        <f t="shared" si="2"/>
        <v>57</v>
      </c>
      <c r="E22" s="375">
        <f t="shared" si="1"/>
        <v>29</v>
      </c>
      <c r="F22" s="376">
        <v>1</v>
      </c>
      <c r="G22" s="377">
        <v>1</v>
      </c>
      <c r="H22" s="376">
        <v>0</v>
      </c>
      <c r="I22" s="377">
        <v>0</v>
      </c>
      <c r="J22" s="376">
        <v>2</v>
      </c>
      <c r="K22" s="377">
        <v>0</v>
      </c>
      <c r="L22" s="376">
        <v>1</v>
      </c>
      <c r="M22" s="377">
        <v>0</v>
      </c>
      <c r="N22" s="376">
        <v>0</v>
      </c>
      <c r="O22" s="377">
        <v>0</v>
      </c>
      <c r="P22" s="391">
        <v>2</v>
      </c>
      <c r="Q22" s="379">
        <v>1</v>
      </c>
      <c r="R22" s="376">
        <v>1</v>
      </c>
      <c r="S22" s="377">
        <v>0</v>
      </c>
      <c r="T22" s="376">
        <v>2</v>
      </c>
      <c r="U22" s="377">
        <v>0</v>
      </c>
      <c r="V22" s="376">
        <v>4</v>
      </c>
      <c r="W22" s="377">
        <v>3</v>
      </c>
      <c r="X22" s="376">
        <v>8</v>
      </c>
      <c r="Y22" s="377">
        <v>4</v>
      </c>
      <c r="Z22" s="376">
        <v>12</v>
      </c>
      <c r="AA22" s="377">
        <v>9</v>
      </c>
      <c r="AB22" s="376">
        <v>13</v>
      </c>
      <c r="AC22" s="377">
        <v>6</v>
      </c>
      <c r="AD22" s="376">
        <f>6+3+2</f>
        <v>11</v>
      </c>
      <c r="AE22" s="380">
        <f>3+1+1</f>
        <v>5</v>
      </c>
      <c r="AF22" s="328"/>
    </row>
    <row r="23" spans="1:32" ht="16.5" customHeight="1">
      <c r="A23" s="353" t="s">
        <v>166</v>
      </c>
      <c r="B23" s="354"/>
      <c r="C23" s="382" t="s">
        <v>160</v>
      </c>
      <c r="D23" s="349">
        <v>94</v>
      </c>
      <c r="E23" s="326">
        <v>46</v>
      </c>
      <c r="F23" s="383">
        <v>1</v>
      </c>
      <c r="G23" s="384">
        <v>1</v>
      </c>
      <c r="H23" s="383">
        <v>5</v>
      </c>
      <c r="I23" s="385">
        <v>0</v>
      </c>
      <c r="J23" s="383">
        <v>3</v>
      </c>
      <c r="K23" s="385">
        <v>2</v>
      </c>
      <c r="L23" s="383">
        <v>1</v>
      </c>
      <c r="M23" s="384">
        <v>0</v>
      </c>
      <c r="N23" s="383">
        <v>2</v>
      </c>
      <c r="O23" s="384">
        <v>2</v>
      </c>
      <c r="P23" s="386">
        <v>1</v>
      </c>
      <c r="Q23" s="384">
        <v>0</v>
      </c>
      <c r="R23" s="383">
        <v>7</v>
      </c>
      <c r="S23" s="384">
        <v>6</v>
      </c>
      <c r="T23" s="383">
        <v>8</v>
      </c>
      <c r="U23" s="384">
        <v>4</v>
      </c>
      <c r="V23" s="383">
        <v>10</v>
      </c>
      <c r="W23" s="384">
        <v>6</v>
      </c>
      <c r="X23" s="383">
        <v>10</v>
      </c>
      <c r="Y23" s="384">
        <v>4</v>
      </c>
      <c r="Z23" s="383">
        <v>7</v>
      </c>
      <c r="AA23" s="384">
        <v>3</v>
      </c>
      <c r="AB23" s="383">
        <v>9</v>
      </c>
      <c r="AC23" s="384">
        <v>5</v>
      </c>
      <c r="AD23" s="383">
        <f>10+9+6</f>
        <v>25</v>
      </c>
      <c r="AE23" s="388">
        <f>3+5+1</f>
        <v>9</v>
      </c>
      <c r="AF23" s="27"/>
    </row>
    <row r="24" spans="1:32" s="60" customFormat="1" ht="16.5" customHeight="1">
      <c r="A24" s="363"/>
      <c r="B24" s="364"/>
      <c r="C24" s="365" t="s">
        <v>161</v>
      </c>
      <c r="D24" s="366">
        <f t="shared" si="2"/>
        <v>72</v>
      </c>
      <c r="E24" s="333">
        <f t="shared" si="1"/>
        <v>38</v>
      </c>
      <c r="F24" s="367">
        <v>1</v>
      </c>
      <c r="G24" s="368">
        <v>1</v>
      </c>
      <c r="H24" s="367">
        <v>2</v>
      </c>
      <c r="I24" s="368">
        <v>0</v>
      </c>
      <c r="J24" s="367">
        <v>1</v>
      </c>
      <c r="K24" s="368">
        <v>1</v>
      </c>
      <c r="L24" s="367">
        <v>0</v>
      </c>
      <c r="M24" s="368">
        <v>0</v>
      </c>
      <c r="N24" s="367">
        <v>2</v>
      </c>
      <c r="O24" s="368">
        <v>2</v>
      </c>
      <c r="P24" s="370">
        <v>1</v>
      </c>
      <c r="Q24" s="371">
        <v>0</v>
      </c>
      <c r="R24" s="367">
        <v>7</v>
      </c>
      <c r="S24" s="368">
        <v>6</v>
      </c>
      <c r="T24" s="367">
        <v>7</v>
      </c>
      <c r="U24" s="368">
        <v>3</v>
      </c>
      <c r="V24" s="367">
        <v>9</v>
      </c>
      <c r="W24" s="368">
        <v>6</v>
      </c>
      <c r="X24" s="367">
        <v>10</v>
      </c>
      <c r="Y24" s="368">
        <v>4</v>
      </c>
      <c r="Z24" s="367">
        <v>6</v>
      </c>
      <c r="AA24" s="368">
        <v>3</v>
      </c>
      <c r="AB24" s="367">
        <v>9</v>
      </c>
      <c r="AC24" s="368">
        <v>5</v>
      </c>
      <c r="AD24" s="367">
        <f>8+7+2</f>
        <v>17</v>
      </c>
      <c r="AE24" s="372">
        <f>2+5+0</f>
        <v>7</v>
      </c>
      <c r="AF24" s="328"/>
    </row>
    <row r="25" spans="1:32" s="60" customFormat="1" ht="16.5" customHeight="1">
      <c r="A25" s="373"/>
      <c r="B25" s="364"/>
      <c r="C25" s="374" t="s">
        <v>162</v>
      </c>
      <c r="D25" s="343">
        <f t="shared" si="2"/>
        <v>40</v>
      </c>
      <c r="E25" s="375">
        <f t="shared" si="1"/>
        <v>17</v>
      </c>
      <c r="F25" s="376">
        <v>1</v>
      </c>
      <c r="G25" s="377">
        <v>1</v>
      </c>
      <c r="H25" s="376">
        <v>0</v>
      </c>
      <c r="I25" s="377">
        <v>0</v>
      </c>
      <c r="J25" s="376">
        <v>1</v>
      </c>
      <c r="K25" s="377">
        <v>1</v>
      </c>
      <c r="L25" s="376">
        <v>0</v>
      </c>
      <c r="M25" s="377">
        <v>0</v>
      </c>
      <c r="N25" s="376">
        <v>0</v>
      </c>
      <c r="O25" s="377">
        <v>0</v>
      </c>
      <c r="P25" s="391">
        <v>0</v>
      </c>
      <c r="Q25" s="379">
        <v>0</v>
      </c>
      <c r="R25" s="376">
        <v>0</v>
      </c>
      <c r="S25" s="377">
        <v>0</v>
      </c>
      <c r="T25" s="376">
        <v>2</v>
      </c>
      <c r="U25" s="377">
        <v>0</v>
      </c>
      <c r="V25" s="376">
        <v>0</v>
      </c>
      <c r="W25" s="377">
        <v>0</v>
      </c>
      <c r="X25" s="376">
        <v>7</v>
      </c>
      <c r="Y25" s="377">
        <v>2</v>
      </c>
      <c r="Z25" s="376">
        <v>5</v>
      </c>
      <c r="AA25" s="377">
        <v>2</v>
      </c>
      <c r="AB25" s="376">
        <v>7</v>
      </c>
      <c r="AC25" s="377">
        <v>4</v>
      </c>
      <c r="AD25" s="376">
        <f>8+7+2</f>
        <v>17</v>
      </c>
      <c r="AE25" s="380">
        <f>2+5+0</f>
        <v>7</v>
      </c>
      <c r="AF25" s="328"/>
    </row>
    <row r="26" spans="1:32" ht="16.5" customHeight="1">
      <c r="A26" s="353" t="s">
        <v>167</v>
      </c>
      <c r="B26" s="354"/>
      <c r="C26" s="382" t="s">
        <v>160</v>
      </c>
      <c r="D26" s="349">
        <v>2033</v>
      </c>
      <c r="E26" s="326">
        <v>1004</v>
      </c>
      <c r="F26" s="383">
        <v>88</v>
      </c>
      <c r="G26" s="384">
        <v>45</v>
      </c>
      <c r="H26" s="383">
        <v>81</v>
      </c>
      <c r="I26" s="384">
        <v>42</v>
      </c>
      <c r="J26" s="383">
        <v>91</v>
      </c>
      <c r="K26" s="385">
        <v>60</v>
      </c>
      <c r="L26" s="383">
        <v>97</v>
      </c>
      <c r="M26" s="384">
        <v>49</v>
      </c>
      <c r="N26" s="383">
        <v>85</v>
      </c>
      <c r="O26" s="384">
        <v>47</v>
      </c>
      <c r="P26" s="386">
        <v>111</v>
      </c>
      <c r="Q26" s="384">
        <v>50</v>
      </c>
      <c r="R26" s="383">
        <v>90</v>
      </c>
      <c r="S26" s="384">
        <v>49</v>
      </c>
      <c r="T26" s="383">
        <v>123</v>
      </c>
      <c r="U26" s="384">
        <v>52</v>
      </c>
      <c r="V26" s="383">
        <v>150</v>
      </c>
      <c r="W26" s="384">
        <v>78</v>
      </c>
      <c r="X26" s="383">
        <v>244</v>
      </c>
      <c r="Y26" s="384">
        <v>120</v>
      </c>
      <c r="Z26" s="383">
        <v>180</v>
      </c>
      <c r="AA26" s="384">
        <v>105</v>
      </c>
      <c r="AB26" s="383">
        <v>117</v>
      </c>
      <c r="AC26" s="384">
        <v>60</v>
      </c>
      <c r="AD26" s="383">
        <f>131+116+133</f>
        <v>380</v>
      </c>
      <c r="AE26" s="388">
        <f>59+40+43</f>
        <v>142</v>
      </c>
      <c r="AF26" s="27"/>
    </row>
    <row r="27" spans="1:32" s="60" customFormat="1" ht="16.5" customHeight="1">
      <c r="A27" s="363"/>
      <c r="B27" s="364"/>
      <c r="C27" s="365" t="s">
        <v>161</v>
      </c>
      <c r="D27" s="366">
        <f t="shared" si="2"/>
        <v>1350</v>
      </c>
      <c r="E27" s="333">
        <f t="shared" si="1"/>
        <v>763</v>
      </c>
      <c r="F27" s="367">
        <v>23</v>
      </c>
      <c r="G27" s="368">
        <v>16</v>
      </c>
      <c r="H27" s="367">
        <v>50</v>
      </c>
      <c r="I27" s="368">
        <v>30</v>
      </c>
      <c r="J27" s="367">
        <v>60</v>
      </c>
      <c r="K27" s="368">
        <v>47</v>
      </c>
      <c r="L27" s="367">
        <v>70</v>
      </c>
      <c r="M27" s="368">
        <v>42</v>
      </c>
      <c r="N27" s="367">
        <v>57</v>
      </c>
      <c r="O27" s="368">
        <v>36</v>
      </c>
      <c r="P27" s="369">
        <v>77</v>
      </c>
      <c r="Q27" s="368">
        <v>43</v>
      </c>
      <c r="R27" s="367">
        <v>75</v>
      </c>
      <c r="S27" s="368">
        <v>44</v>
      </c>
      <c r="T27" s="367">
        <v>96</v>
      </c>
      <c r="U27" s="368">
        <v>46</v>
      </c>
      <c r="V27" s="367">
        <v>141</v>
      </c>
      <c r="W27" s="368">
        <v>78</v>
      </c>
      <c r="X27" s="367">
        <v>229</v>
      </c>
      <c r="Y27" s="368">
        <v>118</v>
      </c>
      <c r="Z27" s="367">
        <v>173</v>
      </c>
      <c r="AA27" s="368">
        <v>102</v>
      </c>
      <c r="AB27" s="367">
        <v>107</v>
      </c>
      <c r="AC27" s="368">
        <v>59</v>
      </c>
      <c r="AD27" s="367">
        <f>99+66+27</f>
        <v>192</v>
      </c>
      <c r="AE27" s="372">
        <f>53+33+16</f>
        <v>102</v>
      </c>
      <c r="AF27" s="328"/>
    </row>
    <row r="28" spans="1:32" s="60" customFormat="1" ht="16.5" customHeight="1">
      <c r="A28" s="373"/>
      <c r="B28" s="364"/>
      <c r="C28" s="374" t="s">
        <v>162</v>
      </c>
      <c r="D28" s="343">
        <f t="shared" si="2"/>
        <v>684</v>
      </c>
      <c r="E28" s="375">
        <f t="shared" si="1"/>
        <v>350</v>
      </c>
      <c r="F28" s="376">
        <v>21</v>
      </c>
      <c r="G28" s="377">
        <v>14</v>
      </c>
      <c r="H28" s="376">
        <v>11</v>
      </c>
      <c r="I28" s="377">
        <v>5</v>
      </c>
      <c r="J28" s="376">
        <v>11</v>
      </c>
      <c r="K28" s="377">
        <v>7</v>
      </c>
      <c r="L28" s="376">
        <v>12</v>
      </c>
      <c r="M28" s="377">
        <v>5</v>
      </c>
      <c r="N28" s="376">
        <v>11</v>
      </c>
      <c r="O28" s="377">
        <v>4</v>
      </c>
      <c r="P28" s="378">
        <v>12</v>
      </c>
      <c r="Q28" s="377">
        <v>7</v>
      </c>
      <c r="R28" s="376">
        <v>5</v>
      </c>
      <c r="S28" s="377">
        <v>2</v>
      </c>
      <c r="T28" s="376">
        <v>18</v>
      </c>
      <c r="U28" s="377">
        <v>9</v>
      </c>
      <c r="V28" s="376">
        <v>31</v>
      </c>
      <c r="W28" s="377">
        <v>13</v>
      </c>
      <c r="X28" s="376">
        <v>121</v>
      </c>
      <c r="Y28" s="377">
        <v>52</v>
      </c>
      <c r="Z28" s="376">
        <v>144</v>
      </c>
      <c r="AA28" s="377">
        <v>81</v>
      </c>
      <c r="AB28" s="376">
        <v>102</v>
      </c>
      <c r="AC28" s="377">
        <v>54</v>
      </c>
      <c r="AD28" s="376">
        <f>96+63+26</f>
        <v>185</v>
      </c>
      <c r="AE28" s="380">
        <f>50+32+15</f>
        <v>97</v>
      </c>
      <c r="AF28" s="328"/>
    </row>
    <row r="29" spans="1:32" ht="16.5" customHeight="1">
      <c r="A29" s="353" t="s">
        <v>168</v>
      </c>
      <c r="B29" s="354"/>
      <c r="C29" s="382" t="s">
        <v>160</v>
      </c>
      <c r="D29" s="349">
        <v>1072</v>
      </c>
      <c r="E29" s="326">
        <v>541</v>
      </c>
      <c r="F29" s="383">
        <v>54</v>
      </c>
      <c r="G29" s="384">
        <v>27</v>
      </c>
      <c r="H29" s="383">
        <v>40</v>
      </c>
      <c r="I29" s="384">
        <v>25</v>
      </c>
      <c r="J29" s="383">
        <v>31</v>
      </c>
      <c r="K29" s="385">
        <v>20</v>
      </c>
      <c r="L29" s="383">
        <v>57</v>
      </c>
      <c r="M29" s="384">
        <v>29</v>
      </c>
      <c r="N29" s="383">
        <v>65</v>
      </c>
      <c r="O29" s="384">
        <v>41</v>
      </c>
      <c r="P29" s="386">
        <v>52</v>
      </c>
      <c r="Q29" s="384">
        <v>25</v>
      </c>
      <c r="R29" s="383">
        <v>52</v>
      </c>
      <c r="S29" s="384">
        <v>29</v>
      </c>
      <c r="T29" s="383">
        <v>63</v>
      </c>
      <c r="U29" s="384">
        <v>33</v>
      </c>
      <c r="V29" s="383">
        <v>82</v>
      </c>
      <c r="W29" s="384">
        <v>39</v>
      </c>
      <c r="X29" s="383">
        <v>122</v>
      </c>
      <c r="Y29" s="384">
        <v>68</v>
      </c>
      <c r="Z29" s="383">
        <v>86</v>
      </c>
      <c r="AA29" s="384">
        <v>56</v>
      </c>
      <c r="AB29" s="383">
        <v>68</v>
      </c>
      <c r="AC29" s="384">
        <v>30</v>
      </c>
      <c r="AD29" s="383">
        <f>82+54+76</f>
        <v>212</v>
      </c>
      <c r="AE29" s="388">
        <f>35+23+25</f>
        <v>83</v>
      </c>
      <c r="AF29" s="27"/>
    </row>
    <row r="30" spans="1:32" s="60" customFormat="1" ht="16.5" customHeight="1">
      <c r="A30" s="363"/>
      <c r="B30" s="364"/>
      <c r="C30" s="365" t="s">
        <v>161</v>
      </c>
      <c r="D30" s="366">
        <f t="shared" si="2"/>
        <v>703</v>
      </c>
      <c r="E30" s="333">
        <f t="shared" si="1"/>
        <v>409</v>
      </c>
      <c r="F30" s="367">
        <v>14</v>
      </c>
      <c r="G30" s="368">
        <v>9</v>
      </c>
      <c r="H30" s="369">
        <v>21</v>
      </c>
      <c r="I30" s="368">
        <v>14</v>
      </c>
      <c r="J30" s="367">
        <v>19</v>
      </c>
      <c r="K30" s="368">
        <v>12</v>
      </c>
      <c r="L30" s="367">
        <v>34</v>
      </c>
      <c r="M30" s="368">
        <v>23</v>
      </c>
      <c r="N30" s="367">
        <v>48</v>
      </c>
      <c r="O30" s="368">
        <v>34</v>
      </c>
      <c r="P30" s="369">
        <v>33</v>
      </c>
      <c r="Q30" s="368">
        <v>17</v>
      </c>
      <c r="R30" s="367">
        <v>40</v>
      </c>
      <c r="S30" s="368">
        <v>23</v>
      </c>
      <c r="T30" s="367">
        <v>51</v>
      </c>
      <c r="U30" s="368">
        <v>31</v>
      </c>
      <c r="V30" s="367">
        <v>74</v>
      </c>
      <c r="W30" s="368">
        <v>39</v>
      </c>
      <c r="X30" s="367">
        <v>113</v>
      </c>
      <c r="Y30" s="368">
        <v>68</v>
      </c>
      <c r="Z30" s="367">
        <v>86</v>
      </c>
      <c r="AA30" s="368">
        <v>56</v>
      </c>
      <c r="AB30" s="367">
        <v>61</v>
      </c>
      <c r="AC30" s="368">
        <v>28</v>
      </c>
      <c r="AD30" s="367">
        <f>61+28+20</f>
        <v>109</v>
      </c>
      <c r="AE30" s="372">
        <f>30+16+9</f>
        <v>55</v>
      </c>
      <c r="AF30" s="328"/>
    </row>
    <row r="31" spans="1:32" s="60" customFormat="1" ht="16.5" customHeight="1">
      <c r="A31" s="373"/>
      <c r="B31" s="364"/>
      <c r="C31" s="374" t="s">
        <v>162</v>
      </c>
      <c r="D31" s="343">
        <f t="shared" si="2"/>
        <v>358</v>
      </c>
      <c r="E31" s="375">
        <f t="shared" si="1"/>
        <v>183</v>
      </c>
      <c r="F31" s="376">
        <v>13</v>
      </c>
      <c r="G31" s="377">
        <v>8</v>
      </c>
      <c r="H31" s="376">
        <v>7</v>
      </c>
      <c r="I31" s="377">
        <v>3</v>
      </c>
      <c r="J31" s="376">
        <v>4</v>
      </c>
      <c r="K31" s="377">
        <v>3</v>
      </c>
      <c r="L31" s="376">
        <v>6</v>
      </c>
      <c r="M31" s="377">
        <v>2</v>
      </c>
      <c r="N31" s="376">
        <v>9</v>
      </c>
      <c r="O31" s="377">
        <v>6</v>
      </c>
      <c r="P31" s="378">
        <v>7</v>
      </c>
      <c r="Q31" s="377">
        <v>3</v>
      </c>
      <c r="R31" s="376">
        <v>7</v>
      </c>
      <c r="S31" s="377">
        <v>3</v>
      </c>
      <c r="T31" s="376">
        <v>12</v>
      </c>
      <c r="U31" s="377">
        <v>6</v>
      </c>
      <c r="V31" s="376">
        <v>19</v>
      </c>
      <c r="W31" s="377">
        <v>8</v>
      </c>
      <c r="X31" s="376">
        <v>55</v>
      </c>
      <c r="Y31" s="377">
        <v>26</v>
      </c>
      <c r="Z31" s="376">
        <v>61</v>
      </c>
      <c r="AA31" s="377">
        <v>38</v>
      </c>
      <c r="AB31" s="376">
        <v>55</v>
      </c>
      <c r="AC31" s="377">
        <v>26</v>
      </c>
      <c r="AD31" s="376">
        <f>57+26+20</f>
        <v>103</v>
      </c>
      <c r="AE31" s="380">
        <f>28+14+9</f>
        <v>51</v>
      </c>
      <c r="AF31" s="328"/>
    </row>
    <row r="32" spans="1:32" ht="16.5" customHeight="1">
      <c r="A32" s="353" t="s">
        <v>169</v>
      </c>
      <c r="B32" s="354"/>
      <c r="C32" s="382" t="s">
        <v>160</v>
      </c>
      <c r="D32" s="349">
        <v>149</v>
      </c>
      <c r="E32" s="326">
        <v>72</v>
      </c>
      <c r="F32" s="383">
        <v>9</v>
      </c>
      <c r="G32" s="387">
        <v>3</v>
      </c>
      <c r="H32" s="386">
        <v>8</v>
      </c>
      <c r="I32" s="387">
        <v>4</v>
      </c>
      <c r="J32" s="386">
        <v>5</v>
      </c>
      <c r="K32" s="385">
        <v>3</v>
      </c>
      <c r="L32" s="383">
        <v>10</v>
      </c>
      <c r="M32" s="384">
        <v>5</v>
      </c>
      <c r="N32" s="383">
        <v>3</v>
      </c>
      <c r="O32" s="384">
        <v>2</v>
      </c>
      <c r="P32" s="386">
        <v>4</v>
      </c>
      <c r="Q32" s="384">
        <v>2</v>
      </c>
      <c r="R32" s="383">
        <v>7</v>
      </c>
      <c r="S32" s="384">
        <v>3</v>
      </c>
      <c r="T32" s="383">
        <v>13</v>
      </c>
      <c r="U32" s="384">
        <v>5</v>
      </c>
      <c r="V32" s="383">
        <v>18</v>
      </c>
      <c r="W32" s="384">
        <v>9</v>
      </c>
      <c r="X32" s="383">
        <v>10</v>
      </c>
      <c r="Y32" s="384">
        <v>7</v>
      </c>
      <c r="Z32" s="383">
        <v>11</v>
      </c>
      <c r="AA32" s="384">
        <v>6</v>
      </c>
      <c r="AB32" s="383">
        <v>9</v>
      </c>
      <c r="AC32" s="384">
        <v>5</v>
      </c>
      <c r="AD32" s="383">
        <f>16+12+5</f>
        <v>33</v>
      </c>
      <c r="AE32" s="388">
        <f>6+6+1</f>
        <v>13</v>
      </c>
      <c r="AF32" s="27"/>
    </row>
    <row r="33" spans="1:32" s="60" customFormat="1" ht="16.5" customHeight="1">
      <c r="A33" s="363"/>
      <c r="B33" s="364"/>
      <c r="C33" s="365" t="s">
        <v>161</v>
      </c>
      <c r="D33" s="366">
        <f t="shared" si="2"/>
        <v>107</v>
      </c>
      <c r="E33" s="333">
        <f t="shared" si="1"/>
        <v>56</v>
      </c>
      <c r="F33" s="367">
        <v>2</v>
      </c>
      <c r="G33" s="368">
        <v>0</v>
      </c>
      <c r="H33" s="367">
        <v>3</v>
      </c>
      <c r="I33" s="368">
        <v>1</v>
      </c>
      <c r="J33" s="367">
        <v>4</v>
      </c>
      <c r="K33" s="368">
        <v>2</v>
      </c>
      <c r="L33" s="367">
        <v>7</v>
      </c>
      <c r="M33" s="368">
        <v>5</v>
      </c>
      <c r="N33" s="367">
        <v>1</v>
      </c>
      <c r="O33" s="368">
        <v>1</v>
      </c>
      <c r="P33" s="369">
        <v>3</v>
      </c>
      <c r="Q33" s="368">
        <v>2</v>
      </c>
      <c r="R33" s="367">
        <v>5</v>
      </c>
      <c r="S33" s="368">
        <v>3</v>
      </c>
      <c r="T33" s="367">
        <v>12</v>
      </c>
      <c r="U33" s="368">
        <v>5</v>
      </c>
      <c r="V33" s="367">
        <v>13</v>
      </c>
      <c r="W33" s="368">
        <v>7</v>
      </c>
      <c r="X33" s="367">
        <v>10</v>
      </c>
      <c r="Y33" s="368">
        <v>7</v>
      </c>
      <c r="Z33" s="367">
        <v>11</v>
      </c>
      <c r="AA33" s="368">
        <v>6</v>
      </c>
      <c r="AB33" s="367">
        <v>9</v>
      </c>
      <c r="AC33" s="368">
        <v>5</v>
      </c>
      <c r="AD33" s="367">
        <f>15+9+3</f>
        <v>27</v>
      </c>
      <c r="AE33" s="372">
        <f>6+5+1</f>
        <v>12</v>
      </c>
      <c r="AF33" s="328"/>
    </row>
    <row r="34" spans="1:32" s="60" customFormat="1" ht="16.5" customHeight="1">
      <c r="A34" s="373"/>
      <c r="B34" s="364"/>
      <c r="C34" s="374" t="s">
        <v>162</v>
      </c>
      <c r="D34" s="343">
        <f t="shared" si="2"/>
        <v>61</v>
      </c>
      <c r="E34" s="375">
        <f t="shared" si="1"/>
        <v>33</v>
      </c>
      <c r="F34" s="376">
        <v>2</v>
      </c>
      <c r="G34" s="377">
        <v>0</v>
      </c>
      <c r="H34" s="376">
        <v>0</v>
      </c>
      <c r="I34" s="377">
        <v>0</v>
      </c>
      <c r="J34" s="376">
        <v>1</v>
      </c>
      <c r="K34" s="377">
        <v>0</v>
      </c>
      <c r="L34" s="376">
        <v>2</v>
      </c>
      <c r="M34" s="377">
        <v>2</v>
      </c>
      <c r="N34" s="376">
        <v>0</v>
      </c>
      <c r="O34" s="377">
        <v>0</v>
      </c>
      <c r="P34" s="378">
        <v>1</v>
      </c>
      <c r="Q34" s="377">
        <v>1</v>
      </c>
      <c r="R34" s="376">
        <v>0</v>
      </c>
      <c r="S34" s="377">
        <v>0</v>
      </c>
      <c r="T34" s="376">
        <v>2</v>
      </c>
      <c r="U34" s="377">
        <v>1</v>
      </c>
      <c r="V34" s="376">
        <v>1</v>
      </c>
      <c r="W34" s="377">
        <v>1</v>
      </c>
      <c r="X34" s="392">
        <v>8</v>
      </c>
      <c r="Y34" s="377">
        <v>6</v>
      </c>
      <c r="Z34" s="376">
        <v>9</v>
      </c>
      <c r="AA34" s="377">
        <v>5</v>
      </c>
      <c r="AB34" s="376">
        <v>9</v>
      </c>
      <c r="AC34" s="377">
        <v>5</v>
      </c>
      <c r="AD34" s="376">
        <f>14+9+3</f>
        <v>26</v>
      </c>
      <c r="AE34" s="380">
        <f>6+5+1</f>
        <v>12</v>
      </c>
      <c r="AF34" s="328"/>
    </row>
    <row r="35" spans="1:32" ht="16.5" customHeight="1">
      <c r="A35" s="353" t="s">
        <v>76</v>
      </c>
      <c r="B35" s="354"/>
      <c r="C35" s="382" t="s">
        <v>160</v>
      </c>
      <c r="D35" s="349">
        <v>856</v>
      </c>
      <c r="E35" s="326">
        <v>428</v>
      </c>
      <c r="F35" s="383">
        <v>43</v>
      </c>
      <c r="G35" s="384">
        <v>19</v>
      </c>
      <c r="H35" s="383">
        <v>37</v>
      </c>
      <c r="I35" s="384">
        <v>18</v>
      </c>
      <c r="J35" s="383">
        <v>26</v>
      </c>
      <c r="K35" s="387">
        <v>13</v>
      </c>
      <c r="L35" s="386">
        <v>44</v>
      </c>
      <c r="M35" s="384">
        <v>26</v>
      </c>
      <c r="N35" s="383">
        <v>44</v>
      </c>
      <c r="O35" s="384">
        <v>23</v>
      </c>
      <c r="P35" s="386">
        <v>45</v>
      </c>
      <c r="Q35" s="384">
        <v>26</v>
      </c>
      <c r="R35" s="383">
        <v>46</v>
      </c>
      <c r="S35" s="385">
        <v>28</v>
      </c>
      <c r="T35" s="383">
        <v>64</v>
      </c>
      <c r="U35" s="384">
        <v>34</v>
      </c>
      <c r="V35" s="383">
        <v>63</v>
      </c>
      <c r="W35" s="387">
        <v>35</v>
      </c>
      <c r="X35" s="386">
        <v>87</v>
      </c>
      <c r="Y35" s="387">
        <v>47</v>
      </c>
      <c r="Z35" s="386">
        <v>76</v>
      </c>
      <c r="AA35" s="384">
        <v>41</v>
      </c>
      <c r="AB35" s="383">
        <v>50</v>
      </c>
      <c r="AC35" s="384">
        <v>22</v>
      </c>
      <c r="AD35" s="383">
        <f>60+49+53</f>
        <v>162</v>
      </c>
      <c r="AE35" s="388">
        <f>25+24+14</f>
        <v>63</v>
      </c>
      <c r="AF35" s="27"/>
    </row>
    <row r="36" spans="1:32" s="60" customFormat="1" ht="16.5" customHeight="1">
      <c r="A36" s="363"/>
      <c r="B36" s="364"/>
      <c r="C36" s="365" t="s">
        <v>161</v>
      </c>
      <c r="D36" s="366">
        <f t="shared" si="2"/>
        <v>595</v>
      </c>
      <c r="E36" s="333">
        <f t="shared" si="1"/>
        <v>339</v>
      </c>
      <c r="F36" s="367">
        <v>12</v>
      </c>
      <c r="G36" s="368">
        <v>6</v>
      </c>
      <c r="H36" s="367">
        <v>18</v>
      </c>
      <c r="I36" s="368">
        <v>12</v>
      </c>
      <c r="J36" s="367">
        <v>17</v>
      </c>
      <c r="K36" s="368">
        <v>10</v>
      </c>
      <c r="L36" s="367">
        <v>32</v>
      </c>
      <c r="M36" s="368">
        <v>21</v>
      </c>
      <c r="N36" s="367">
        <v>28</v>
      </c>
      <c r="O36" s="368">
        <v>19</v>
      </c>
      <c r="P36" s="369">
        <v>32</v>
      </c>
      <c r="Q36" s="368">
        <v>23</v>
      </c>
      <c r="R36" s="367">
        <v>38</v>
      </c>
      <c r="S36" s="368">
        <v>25</v>
      </c>
      <c r="T36" s="367">
        <v>60</v>
      </c>
      <c r="U36" s="368">
        <v>33</v>
      </c>
      <c r="V36" s="367">
        <v>57</v>
      </c>
      <c r="W36" s="393">
        <v>34</v>
      </c>
      <c r="X36" s="369">
        <v>84</v>
      </c>
      <c r="Y36" s="371">
        <v>47</v>
      </c>
      <c r="Z36" s="367">
        <v>74</v>
      </c>
      <c r="AA36" s="368">
        <v>40</v>
      </c>
      <c r="AB36" s="367">
        <v>43</v>
      </c>
      <c r="AC36" s="368">
        <v>21</v>
      </c>
      <c r="AD36" s="367">
        <f>52+32+16</f>
        <v>100</v>
      </c>
      <c r="AE36" s="372">
        <f>25+18+5</f>
        <v>48</v>
      </c>
      <c r="AF36" s="328"/>
    </row>
    <row r="37" spans="1:32" s="60" customFormat="1" ht="16.5" customHeight="1">
      <c r="A37" s="373"/>
      <c r="B37" s="364"/>
      <c r="C37" s="374" t="s">
        <v>162</v>
      </c>
      <c r="D37" s="343">
        <f t="shared" si="2"/>
        <v>304</v>
      </c>
      <c r="E37" s="375">
        <f t="shared" si="1"/>
        <v>157</v>
      </c>
      <c r="F37" s="376">
        <v>8</v>
      </c>
      <c r="G37" s="377">
        <v>4</v>
      </c>
      <c r="H37" s="376">
        <v>2</v>
      </c>
      <c r="I37" s="377">
        <v>1</v>
      </c>
      <c r="J37" s="376">
        <v>4</v>
      </c>
      <c r="K37" s="377">
        <v>0</v>
      </c>
      <c r="L37" s="376">
        <v>2</v>
      </c>
      <c r="M37" s="377">
        <v>1</v>
      </c>
      <c r="N37" s="376">
        <v>5</v>
      </c>
      <c r="O37" s="377">
        <v>3</v>
      </c>
      <c r="P37" s="378">
        <v>6</v>
      </c>
      <c r="Q37" s="377">
        <v>4</v>
      </c>
      <c r="R37" s="376">
        <v>12</v>
      </c>
      <c r="S37" s="377">
        <v>9</v>
      </c>
      <c r="T37" s="376">
        <v>10</v>
      </c>
      <c r="U37" s="377">
        <v>7</v>
      </c>
      <c r="V37" s="376">
        <v>14</v>
      </c>
      <c r="W37" s="394">
        <v>7</v>
      </c>
      <c r="X37" s="378">
        <v>44</v>
      </c>
      <c r="Y37" s="379">
        <v>23</v>
      </c>
      <c r="Z37" s="376">
        <v>60</v>
      </c>
      <c r="AA37" s="377">
        <v>32</v>
      </c>
      <c r="AB37" s="376">
        <v>40</v>
      </c>
      <c r="AC37" s="377">
        <v>19</v>
      </c>
      <c r="AD37" s="376">
        <f>50+32+15</f>
        <v>97</v>
      </c>
      <c r="AE37" s="380">
        <f>25+18+4</f>
        <v>47</v>
      </c>
      <c r="AF37" s="328"/>
    </row>
    <row r="38" spans="1:32" s="60" customFormat="1" ht="16.5" customHeight="1">
      <c r="A38" s="353" t="s">
        <v>170</v>
      </c>
      <c r="B38" s="354"/>
      <c r="C38" s="395" t="s">
        <v>160</v>
      </c>
      <c r="D38" s="349">
        <v>1999</v>
      </c>
      <c r="E38" s="326">
        <v>1017</v>
      </c>
      <c r="F38" s="396">
        <v>87</v>
      </c>
      <c r="G38" s="397">
        <v>47</v>
      </c>
      <c r="H38" s="396">
        <v>92</v>
      </c>
      <c r="I38" s="397">
        <v>47</v>
      </c>
      <c r="J38" s="396">
        <v>103</v>
      </c>
      <c r="K38" s="398">
        <v>57</v>
      </c>
      <c r="L38" s="370">
        <v>82</v>
      </c>
      <c r="M38" s="397">
        <v>48</v>
      </c>
      <c r="N38" s="396">
        <v>94</v>
      </c>
      <c r="O38" s="397">
        <v>50</v>
      </c>
      <c r="P38" s="370">
        <v>86</v>
      </c>
      <c r="Q38" s="397">
        <v>49</v>
      </c>
      <c r="R38" s="396">
        <v>95</v>
      </c>
      <c r="S38" s="399">
        <v>51</v>
      </c>
      <c r="T38" s="396">
        <v>136</v>
      </c>
      <c r="U38" s="397">
        <v>62</v>
      </c>
      <c r="V38" s="396">
        <v>164</v>
      </c>
      <c r="W38" s="398">
        <v>87</v>
      </c>
      <c r="X38" s="370">
        <v>212</v>
      </c>
      <c r="Y38" s="398">
        <v>113</v>
      </c>
      <c r="Z38" s="370">
        <v>175</v>
      </c>
      <c r="AA38" s="397">
        <v>100</v>
      </c>
      <c r="AB38" s="396">
        <v>123</v>
      </c>
      <c r="AC38" s="397">
        <v>59</v>
      </c>
      <c r="AD38" s="396">
        <f>135+107+133</f>
        <v>375</v>
      </c>
      <c r="AE38" s="400">
        <f>68+42+46</f>
        <v>156</v>
      </c>
      <c r="AF38" s="328"/>
    </row>
    <row r="39" spans="1:32" s="60" customFormat="1" ht="16.5" customHeight="1">
      <c r="A39" s="363"/>
      <c r="B39" s="364"/>
      <c r="C39" s="365" t="s">
        <v>161</v>
      </c>
      <c r="D39" s="366">
        <f t="shared" si="2"/>
        <v>1353</v>
      </c>
      <c r="E39" s="333">
        <f>G39+I39+K39+M39+O39+Q39+S39+U39+W39+Y39+AA39+AC39+AE39</f>
        <v>764</v>
      </c>
      <c r="F39" s="367">
        <v>24</v>
      </c>
      <c r="G39" s="368">
        <v>11</v>
      </c>
      <c r="H39" s="367">
        <v>43</v>
      </c>
      <c r="I39" s="368">
        <v>20</v>
      </c>
      <c r="J39" s="367">
        <v>56</v>
      </c>
      <c r="K39" s="368">
        <v>41</v>
      </c>
      <c r="L39" s="367">
        <v>63</v>
      </c>
      <c r="M39" s="368">
        <v>44</v>
      </c>
      <c r="N39" s="367">
        <v>61</v>
      </c>
      <c r="O39" s="368">
        <v>41</v>
      </c>
      <c r="P39" s="369">
        <v>70</v>
      </c>
      <c r="Q39" s="368">
        <v>42</v>
      </c>
      <c r="R39" s="367">
        <v>79</v>
      </c>
      <c r="S39" s="368">
        <v>48</v>
      </c>
      <c r="T39" s="367">
        <v>114</v>
      </c>
      <c r="U39" s="368">
        <v>58</v>
      </c>
      <c r="V39" s="367">
        <v>150</v>
      </c>
      <c r="W39" s="393">
        <v>85</v>
      </c>
      <c r="X39" s="369">
        <v>199</v>
      </c>
      <c r="Y39" s="371">
        <v>112</v>
      </c>
      <c r="Z39" s="367">
        <v>173</v>
      </c>
      <c r="AA39" s="368">
        <v>99</v>
      </c>
      <c r="AB39" s="367">
        <v>115</v>
      </c>
      <c r="AC39" s="368">
        <v>57</v>
      </c>
      <c r="AD39" s="367">
        <f>111+60+35</f>
        <v>206</v>
      </c>
      <c r="AE39" s="372">
        <f>63+26+17</f>
        <v>106</v>
      </c>
      <c r="AF39" s="328"/>
    </row>
    <row r="40" spans="1:32" s="60" customFormat="1" ht="16.5" customHeight="1">
      <c r="A40" s="373"/>
      <c r="B40" s="364"/>
      <c r="C40" s="374" t="s">
        <v>162</v>
      </c>
      <c r="D40" s="343">
        <f t="shared" si="2"/>
        <v>728</v>
      </c>
      <c r="E40" s="375">
        <f t="shared" si="1"/>
        <v>394</v>
      </c>
      <c r="F40" s="376">
        <v>20</v>
      </c>
      <c r="G40" s="377">
        <v>9</v>
      </c>
      <c r="H40" s="376">
        <v>11</v>
      </c>
      <c r="I40" s="377">
        <v>6</v>
      </c>
      <c r="J40" s="376">
        <v>8</v>
      </c>
      <c r="K40" s="377">
        <v>6</v>
      </c>
      <c r="L40" s="376">
        <v>10</v>
      </c>
      <c r="M40" s="377">
        <v>6</v>
      </c>
      <c r="N40" s="376">
        <v>7</v>
      </c>
      <c r="O40" s="377">
        <v>4</v>
      </c>
      <c r="P40" s="378">
        <v>8</v>
      </c>
      <c r="Q40" s="377">
        <v>5</v>
      </c>
      <c r="R40" s="376">
        <v>17</v>
      </c>
      <c r="S40" s="377">
        <v>11</v>
      </c>
      <c r="T40" s="376">
        <v>24</v>
      </c>
      <c r="U40" s="377">
        <v>14</v>
      </c>
      <c r="V40" s="376">
        <v>44</v>
      </c>
      <c r="W40" s="394">
        <v>24</v>
      </c>
      <c r="X40" s="378">
        <v>119</v>
      </c>
      <c r="Y40" s="379">
        <v>69</v>
      </c>
      <c r="Z40" s="376">
        <v>148</v>
      </c>
      <c r="AA40" s="377">
        <v>80</v>
      </c>
      <c r="AB40" s="376">
        <v>112</v>
      </c>
      <c r="AC40" s="377">
        <v>57</v>
      </c>
      <c r="AD40" s="376">
        <f>108+60+32</f>
        <v>200</v>
      </c>
      <c r="AE40" s="380">
        <f>61+26+16</f>
        <v>103</v>
      </c>
      <c r="AF40" s="328"/>
    </row>
    <row r="41" spans="1:33" ht="16.5" customHeight="1">
      <c r="A41" s="353" t="s">
        <v>78</v>
      </c>
      <c r="B41" s="354"/>
      <c r="C41" s="382" t="s">
        <v>160</v>
      </c>
      <c r="D41" s="366">
        <v>1143</v>
      </c>
      <c r="E41" s="333">
        <v>570</v>
      </c>
      <c r="F41" s="383">
        <v>52</v>
      </c>
      <c r="G41" s="384">
        <v>28</v>
      </c>
      <c r="H41" s="383">
        <v>45</v>
      </c>
      <c r="I41" s="387">
        <v>23</v>
      </c>
      <c r="J41" s="386">
        <v>52</v>
      </c>
      <c r="K41" s="384">
        <v>28</v>
      </c>
      <c r="L41" s="383">
        <v>65</v>
      </c>
      <c r="M41" s="384">
        <v>36</v>
      </c>
      <c r="N41" s="386">
        <v>54</v>
      </c>
      <c r="O41" s="384">
        <v>32</v>
      </c>
      <c r="P41" s="386">
        <v>49</v>
      </c>
      <c r="Q41" s="385">
        <v>25</v>
      </c>
      <c r="R41" s="383">
        <v>53</v>
      </c>
      <c r="S41" s="384">
        <v>26</v>
      </c>
      <c r="T41" s="383">
        <v>72</v>
      </c>
      <c r="U41" s="387">
        <v>36</v>
      </c>
      <c r="V41" s="386">
        <v>87</v>
      </c>
      <c r="W41" s="387">
        <v>46</v>
      </c>
      <c r="X41" s="386">
        <v>109</v>
      </c>
      <c r="Y41" s="387">
        <v>50</v>
      </c>
      <c r="Z41" s="386">
        <v>100</v>
      </c>
      <c r="AA41" s="384">
        <v>57</v>
      </c>
      <c r="AB41" s="386">
        <v>71</v>
      </c>
      <c r="AC41" s="384">
        <v>34</v>
      </c>
      <c r="AD41" s="383">
        <f>75+47+74</f>
        <v>196</v>
      </c>
      <c r="AE41" s="388">
        <f>36+19+14</f>
        <v>69</v>
      </c>
      <c r="AF41" s="401"/>
      <c r="AG41" s="401"/>
    </row>
    <row r="42" spans="1:32" s="60" customFormat="1" ht="16.5" customHeight="1">
      <c r="A42" s="363"/>
      <c r="B42" s="364"/>
      <c r="C42" s="365" t="s">
        <v>161</v>
      </c>
      <c r="D42" s="366">
        <f>F42+H42+J42+L42+N42+P42+R42+T42+V42+X42+Z42+AB42+AD42</f>
        <v>772</v>
      </c>
      <c r="E42" s="333">
        <f>G42+I42+K42+M42+O42+Q42+S42+U42+W42+Y42+AA42+AC42+AE42</f>
        <v>415</v>
      </c>
      <c r="F42" s="367">
        <v>15</v>
      </c>
      <c r="G42" s="368">
        <v>9</v>
      </c>
      <c r="H42" s="367">
        <v>22</v>
      </c>
      <c r="I42" s="368">
        <v>13</v>
      </c>
      <c r="J42" s="367">
        <v>32</v>
      </c>
      <c r="K42" s="368">
        <v>20</v>
      </c>
      <c r="L42" s="367">
        <v>46</v>
      </c>
      <c r="M42" s="368">
        <v>29</v>
      </c>
      <c r="N42" s="367">
        <v>41</v>
      </c>
      <c r="O42" s="368">
        <v>26</v>
      </c>
      <c r="P42" s="369">
        <v>40</v>
      </c>
      <c r="Q42" s="368">
        <v>23</v>
      </c>
      <c r="R42" s="367">
        <v>39</v>
      </c>
      <c r="S42" s="368">
        <v>22</v>
      </c>
      <c r="T42" s="367">
        <v>65</v>
      </c>
      <c r="U42" s="368">
        <v>34</v>
      </c>
      <c r="V42" s="367">
        <v>81</v>
      </c>
      <c r="W42" s="393">
        <v>45</v>
      </c>
      <c r="X42" s="369">
        <v>104</v>
      </c>
      <c r="Y42" s="371">
        <v>50</v>
      </c>
      <c r="Z42" s="367">
        <v>94</v>
      </c>
      <c r="AA42" s="368">
        <v>56</v>
      </c>
      <c r="AB42" s="367">
        <v>66</v>
      </c>
      <c r="AC42" s="368">
        <v>32</v>
      </c>
      <c r="AD42" s="367">
        <f>66+32+29</f>
        <v>127</v>
      </c>
      <c r="AE42" s="372">
        <f>35+14+7</f>
        <v>56</v>
      </c>
      <c r="AF42" s="328"/>
    </row>
    <row r="43" spans="1:31" s="60" customFormat="1" ht="16.5" customHeight="1">
      <c r="A43" s="373"/>
      <c r="B43" s="364"/>
      <c r="C43" s="374" t="s">
        <v>162</v>
      </c>
      <c r="D43" s="343">
        <f t="shared" si="2"/>
        <v>489</v>
      </c>
      <c r="E43" s="375">
        <f t="shared" si="1"/>
        <v>243</v>
      </c>
      <c r="F43" s="376">
        <v>14</v>
      </c>
      <c r="G43" s="377">
        <v>8</v>
      </c>
      <c r="H43" s="376">
        <v>11</v>
      </c>
      <c r="I43" s="377">
        <v>7</v>
      </c>
      <c r="J43" s="376">
        <v>6</v>
      </c>
      <c r="K43" s="377">
        <v>3</v>
      </c>
      <c r="L43" s="376">
        <v>11</v>
      </c>
      <c r="M43" s="377">
        <v>6</v>
      </c>
      <c r="N43" s="376">
        <v>12</v>
      </c>
      <c r="O43" s="377">
        <v>5</v>
      </c>
      <c r="P43" s="378">
        <v>7</v>
      </c>
      <c r="Q43" s="377">
        <v>6</v>
      </c>
      <c r="R43" s="376">
        <v>13</v>
      </c>
      <c r="S43" s="377">
        <v>7</v>
      </c>
      <c r="T43" s="376">
        <v>34</v>
      </c>
      <c r="U43" s="377">
        <v>18</v>
      </c>
      <c r="V43" s="376">
        <v>39</v>
      </c>
      <c r="W43" s="394">
        <v>20</v>
      </c>
      <c r="X43" s="378">
        <v>77</v>
      </c>
      <c r="Y43" s="379">
        <v>32</v>
      </c>
      <c r="Z43" s="376">
        <v>75</v>
      </c>
      <c r="AA43" s="377">
        <v>44</v>
      </c>
      <c r="AB43" s="376">
        <v>66</v>
      </c>
      <c r="AC43" s="377">
        <v>32</v>
      </c>
      <c r="AD43" s="376">
        <f>63+32+29</f>
        <v>124</v>
      </c>
      <c r="AE43" s="380">
        <f>34+14+7</f>
        <v>55</v>
      </c>
    </row>
    <row r="44" spans="1:31" ht="16.5" customHeight="1">
      <c r="A44" s="402" t="s">
        <v>79</v>
      </c>
      <c r="B44" s="403"/>
      <c r="C44" s="404" t="s">
        <v>160</v>
      </c>
      <c r="D44" s="349">
        <v>1366</v>
      </c>
      <c r="E44" s="326">
        <v>694</v>
      </c>
      <c r="F44" s="383">
        <v>34</v>
      </c>
      <c r="G44" s="384">
        <v>21</v>
      </c>
      <c r="H44" s="383">
        <v>58</v>
      </c>
      <c r="I44" s="384">
        <v>32</v>
      </c>
      <c r="J44" s="383">
        <v>71</v>
      </c>
      <c r="K44" s="387">
        <v>44</v>
      </c>
      <c r="L44" s="386">
        <v>73</v>
      </c>
      <c r="M44" s="384">
        <v>44</v>
      </c>
      <c r="N44" s="383">
        <v>67</v>
      </c>
      <c r="O44" s="384">
        <v>34</v>
      </c>
      <c r="P44" s="386">
        <v>69</v>
      </c>
      <c r="Q44" s="384">
        <v>39</v>
      </c>
      <c r="R44" s="383">
        <v>67</v>
      </c>
      <c r="S44" s="385">
        <v>33</v>
      </c>
      <c r="T44" s="383">
        <v>76</v>
      </c>
      <c r="U44" s="384">
        <v>33</v>
      </c>
      <c r="V44" s="383">
        <v>133</v>
      </c>
      <c r="W44" s="387">
        <v>75</v>
      </c>
      <c r="X44" s="386">
        <v>145</v>
      </c>
      <c r="Y44" s="385">
        <v>72</v>
      </c>
      <c r="Z44" s="383">
        <v>98</v>
      </c>
      <c r="AA44" s="387">
        <v>58</v>
      </c>
      <c r="AB44" s="386">
        <v>85</v>
      </c>
      <c r="AC44" s="384">
        <v>46</v>
      </c>
      <c r="AD44" s="383">
        <f>82+90+79</f>
        <v>251</v>
      </c>
      <c r="AE44" s="388">
        <f>42+30+25</f>
        <v>97</v>
      </c>
    </row>
    <row r="45" spans="1:31" s="60" customFormat="1" ht="16.5" customHeight="1">
      <c r="A45" s="402"/>
      <c r="B45" s="403"/>
      <c r="C45" s="331" t="s">
        <v>161</v>
      </c>
      <c r="D45" s="366">
        <f t="shared" si="2"/>
        <v>890</v>
      </c>
      <c r="E45" s="333">
        <f>G45+I45+K45+M45+O45+Q45+S45+U45+W45+Y45+AA45+AC45+AE45</f>
        <v>519</v>
      </c>
      <c r="F45" s="367">
        <v>9</v>
      </c>
      <c r="G45" s="368">
        <v>8</v>
      </c>
      <c r="H45" s="367">
        <v>27</v>
      </c>
      <c r="I45" s="368">
        <v>19</v>
      </c>
      <c r="J45" s="367">
        <v>39</v>
      </c>
      <c r="K45" s="368">
        <v>33</v>
      </c>
      <c r="L45" s="367">
        <v>47</v>
      </c>
      <c r="M45" s="368">
        <v>34</v>
      </c>
      <c r="N45" s="367">
        <v>43</v>
      </c>
      <c r="O45" s="368">
        <v>28</v>
      </c>
      <c r="P45" s="369">
        <v>45</v>
      </c>
      <c r="Q45" s="368">
        <v>32</v>
      </c>
      <c r="R45" s="367">
        <v>49</v>
      </c>
      <c r="S45" s="368">
        <v>27</v>
      </c>
      <c r="T45" s="367">
        <v>58</v>
      </c>
      <c r="U45" s="368">
        <v>30</v>
      </c>
      <c r="V45" s="367">
        <v>124</v>
      </c>
      <c r="W45" s="368">
        <v>74</v>
      </c>
      <c r="X45" s="369">
        <v>138</v>
      </c>
      <c r="Y45" s="371">
        <v>71</v>
      </c>
      <c r="Z45" s="367">
        <v>94</v>
      </c>
      <c r="AA45" s="368">
        <v>58</v>
      </c>
      <c r="AB45" s="367">
        <v>76</v>
      </c>
      <c r="AC45" s="368">
        <v>41</v>
      </c>
      <c r="AD45" s="367">
        <f>69+57+15</f>
        <v>141</v>
      </c>
      <c r="AE45" s="372">
        <f>38+18+8</f>
        <v>64</v>
      </c>
    </row>
    <row r="46" spans="1:31" s="414" customFormat="1" ht="16.5" customHeight="1" thickBot="1">
      <c r="A46" s="405"/>
      <c r="B46" s="406"/>
      <c r="C46" s="407" t="s">
        <v>162</v>
      </c>
      <c r="D46" s="408">
        <f t="shared" si="2"/>
        <v>489</v>
      </c>
      <c r="E46" s="409">
        <f t="shared" si="1"/>
        <v>261</v>
      </c>
      <c r="F46" s="410">
        <v>8</v>
      </c>
      <c r="G46" s="411">
        <v>7</v>
      </c>
      <c r="H46" s="410">
        <v>7</v>
      </c>
      <c r="I46" s="411">
        <v>5</v>
      </c>
      <c r="J46" s="410">
        <v>5</v>
      </c>
      <c r="K46" s="411">
        <v>5</v>
      </c>
      <c r="L46" s="410">
        <v>10</v>
      </c>
      <c r="M46" s="411">
        <v>8</v>
      </c>
      <c r="N46" s="410">
        <v>9</v>
      </c>
      <c r="O46" s="411">
        <v>7</v>
      </c>
      <c r="P46" s="412">
        <v>8</v>
      </c>
      <c r="Q46" s="411">
        <v>4</v>
      </c>
      <c r="R46" s="410">
        <v>10</v>
      </c>
      <c r="S46" s="411">
        <v>6</v>
      </c>
      <c r="T46" s="410">
        <v>15</v>
      </c>
      <c r="U46" s="411">
        <v>9</v>
      </c>
      <c r="V46" s="410">
        <v>39</v>
      </c>
      <c r="W46" s="411">
        <v>16</v>
      </c>
      <c r="X46" s="410">
        <v>92</v>
      </c>
      <c r="Y46" s="411">
        <v>47</v>
      </c>
      <c r="Z46" s="410">
        <v>81</v>
      </c>
      <c r="AA46" s="411">
        <v>49</v>
      </c>
      <c r="AB46" s="410">
        <v>68</v>
      </c>
      <c r="AC46" s="411">
        <v>36</v>
      </c>
      <c r="AD46" s="410">
        <f>68+54+15</f>
        <v>137</v>
      </c>
      <c r="AE46" s="413">
        <f>37+17+8</f>
        <v>62</v>
      </c>
    </row>
    <row r="47" spans="3:31" s="30" customFormat="1" ht="15" customHeight="1">
      <c r="C47" s="30" t="s">
        <v>171</v>
      </c>
      <c r="D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</row>
    <row r="48" s="30" customFormat="1" ht="15" customHeight="1">
      <c r="C48" s="415" t="s">
        <v>172</v>
      </c>
    </row>
    <row r="49" ht="14.2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</sheetData>
  <sheetProtection/>
  <mergeCells count="42">
    <mergeCell ref="A44:A46"/>
    <mergeCell ref="B44:B46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A7:A10"/>
    <mergeCell ref="B7:B10"/>
    <mergeCell ref="A11:A13"/>
    <mergeCell ref="B11:B13"/>
    <mergeCell ref="A14:A16"/>
    <mergeCell ref="B14:B16"/>
    <mergeCell ref="T5:U5"/>
    <mergeCell ref="V5:W5"/>
    <mergeCell ref="X5:Y5"/>
    <mergeCell ref="Z5:AA5"/>
    <mergeCell ref="AB5:AC5"/>
    <mergeCell ref="AD5:AE5"/>
    <mergeCell ref="A3:AE3"/>
    <mergeCell ref="A5:C6"/>
    <mergeCell ref="D5:E5"/>
    <mergeCell ref="F5:G5"/>
    <mergeCell ref="H5:I5"/>
    <mergeCell ref="J5:K5"/>
    <mergeCell ref="L5:M5"/>
    <mergeCell ref="N5:O5"/>
    <mergeCell ref="P5:Q5"/>
    <mergeCell ref="R5:S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Footer>&amp;C- &amp;P+39 -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6"/>
  <sheetViews>
    <sheetView zoomScaleSheetLayoutView="100" workbookViewId="0" topLeftCell="A28">
      <selection activeCell="J27" sqref="J27"/>
    </sheetView>
  </sheetViews>
  <sheetFormatPr defaultColWidth="9.00390625" defaultRowHeight="13.5"/>
  <cols>
    <col min="1" max="1" width="12.625" style="0" customWidth="1"/>
    <col min="2" max="3" width="5.625" style="0" customWidth="1"/>
    <col min="4" max="4" width="10.625" style="0" customWidth="1"/>
    <col min="5" max="8" width="5.625" style="0" customWidth="1"/>
    <col min="9" max="9" width="10.625" style="0" customWidth="1"/>
    <col min="10" max="10" width="10.50390625" style="0" customWidth="1"/>
    <col min="11" max="11" width="11.50390625" style="0" customWidth="1"/>
    <col min="12" max="12" width="12.50390625" style="0" customWidth="1"/>
    <col min="13" max="13" width="11.00390625" style="0" customWidth="1"/>
    <col min="14" max="18" width="10.375" style="0" customWidth="1"/>
  </cols>
  <sheetData>
    <row r="1" spans="1:18" ht="20.25" customHeight="1">
      <c r="A1" t="s">
        <v>173</v>
      </c>
      <c r="R1" s="416" t="s">
        <v>174</v>
      </c>
    </row>
    <row r="2" ht="9" customHeight="1" thickBot="1">
      <c r="R2" s="417"/>
    </row>
    <row r="3" spans="1:18" ht="21" customHeight="1">
      <c r="A3" s="126" t="s">
        <v>52</v>
      </c>
      <c r="B3" s="102" t="s">
        <v>175</v>
      </c>
      <c r="C3" s="103"/>
      <c r="D3" s="103"/>
      <c r="E3" s="103"/>
      <c r="F3" s="103"/>
      <c r="G3" s="103"/>
      <c r="H3" s="103"/>
      <c r="I3" s="103"/>
      <c r="J3" s="103"/>
      <c r="K3" s="165"/>
      <c r="L3" s="136" t="s">
        <v>176</v>
      </c>
      <c r="M3" s="136"/>
      <c r="N3" s="136"/>
      <c r="O3" s="136"/>
      <c r="P3" s="136"/>
      <c r="Q3" s="136"/>
      <c r="R3" s="117"/>
    </row>
    <row r="4" spans="1:18" ht="9" customHeight="1">
      <c r="A4" s="418"/>
      <c r="B4" s="419" t="s">
        <v>19</v>
      </c>
      <c r="C4" s="420"/>
      <c r="D4" s="206" t="s">
        <v>177</v>
      </c>
      <c r="E4" s="207"/>
      <c r="F4" s="207"/>
      <c r="G4" s="207"/>
      <c r="H4" s="207"/>
      <c r="I4" s="208"/>
      <c r="J4" s="421" t="s">
        <v>178</v>
      </c>
      <c r="K4" s="421" t="s">
        <v>179</v>
      </c>
      <c r="L4" s="118" t="s">
        <v>19</v>
      </c>
      <c r="M4" s="206" t="s">
        <v>177</v>
      </c>
      <c r="N4" s="207"/>
      <c r="O4" s="207"/>
      <c r="P4" s="208"/>
      <c r="Q4" s="206" t="s">
        <v>178</v>
      </c>
      <c r="R4" s="422" t="s">
        <v>180</v>
      </c>
    </row>
    <row r="5" spans="1:18" ht="9" customHeight="1">
      <c r="A5" s="418"/>
      <c r="B5" s="170"/>
      <c r="C5" s="172"/>
      <c r="D5" s="211"/>
      <c r="E5" s="212"/>
      <c r="F5" s="212"/>
      <c r="G5" s="212"/>
      <c r="H5" s="212"/>
      <c r="I5" s="213"/>
      <c r="J5" s="423"/>
      <c r="K5" s="423"/>
      <c r="L5" s="118"/>
      <c r="M5" s="211"/>
      <c r="N5" s="212"/>
      <c r="O5" s="212"/>
      <c r="P5" s="213"/>
      <c r="Q5" s="424"/>
      <c r="R5" s="425"/>
    </row>
    <row r="6" spans="1:18" ht="27.75" customHeight="1">
      <c r="A6" s="140"/>
      <c r="B6" s="104"/>
      <c r="C6" s="177"/>
      <c r="D6" s="68" t="s">
        <v>181</v>
      </c>
      <c r="E6" s="426" t="s">
        <v>182</v>
      </c>
      <c r="F6" s="427"/>
      <c r="G6" s="426" t="s">
        <v>183</v>
      </c>
      <c r="H6" s="427"/>
      <c r="I6" s="428" t="s">
        <v>184</v>
      </c>
      <c r="J6" s="249"/>
      <c r="K6" s="249"/>
      <c r="L6" s="118"/>
      <c r="M6" s="68" t="s">
        <v>181</v>
      </c>
      <c r="N6" s="68" t="s">
        <v>185</v>
      </c>
      <c r="O6" s="68" t="s">
        <v>183</v>
      </c>
      <c r="P6" s="429" t="s">
        <v>184</v>
      </c>
      <c r="Q6" s="211"/>
      <c r="R6" s="430"/>
    </row>
    <row r="7" spans="1:18" ht="24.75" customHeight="1">
      <c r="A7" s="431" t="s">
        <v>186</v>
      </c>
      <c r="B7" s="432">
        <f>SUM(B8:B19)</f>
        <v>9787</v>
      </c>
      <c r="C7" s="433"/>
      <c r="D7" s="434">
        <f>SUM(E7:I7)</f>
        <v>7175</v>
      </c>
      <c r="E7" s="432">
        <f>SUM(E8:F19)</f>
        <v>3013</v>
      </c>
      <c r="F7" s="433"/>
      <c r="G7" s="432">
        <f>SUM(G8:H19)</f>
        <v>3852</v>
      </c>
      <c r="H7" s="433"/>
      <c r="I7" s="434">
        <f>SUM(I8:I19)</f>
        <v>310</v>
      </c>
      <c r="J7" s="435">
        <f>SUM(J8:J19)</f>
        <v>783</v>
      </c>
      <c r="K7" s="434">
        <f>SUM(K8:K19)</f>
        <v>1829</v>
      </c>
      <c r="L7" s="434">
        <f>SUM(L8:L19)</f>
        <v>4893</v>
      </c>
      <c r="M7" s="434">
        <f>SUM(N7:P7)</f>
        <v>4186</v>
      </c>
      <c r="N7" s="434">
        <f>SUM(N8:N19)</f>
        <v>1844</v>
      </c>
      <c r="O7" s="434">
        <f>SUM(O8:O19)</f>
        <v>2132</v>
      </c>
      <c r="P7" s="434">
        <f>SUM(P8:P19)</f>
        <v>210</v>
      </c>
      <c r="Q7" s="435">
        <f>SUM(Q8:Q19)</f>
        <v>6</v>
      </c>
      <c r="R7" s="436">
        <f>SUM(R8:R19)</f>
        <v>701</v>
      </c>
    </row>
    <row r="8" spans="1:18" ht="21.75" customHeight="1">
      <c r="A8" s="431" t="s">
        <v>187</v>
      </c>
      <c r="B8" s="432">
        <f aca="true" t="shared" si="0" ref="B8:B19">D8+J8+K8</f>
        <v>608</v>
      </c>
      <c r="C8" s="433"/>
      <c r="D8" s="434">
        <f aca="true" t="shared" si="1" ref="D8:D19">SUM(E8:I8)</f>
        <v>433</v>
      </c>
      <c r="E8" s="432">
        <v>219</v>
      </c>
      <c r="F8" s="433"/>
      <c r="G8" s="432">
        <v>207</v>
      </c>
      <c r="H8" s="433"/>
      <c r="I8" s="434">
        <v>7</v>
      </c>
      <c r="J8" s="435">
        <v>62</v>
      </c>
      <c r="K8" s="437">
        <f>26+87</f>
        <v>113</v>
      </c>
      <c r="L8" s="434">
        <f>M8+Q8+R8</f>
        <v>296</v>
      </c>
      <c r="M8" s="434">
        <f>SUM(N8:P8)</f>
        <v>253</v>
      </c>
      <c r="N8" s="434">
        <v>132</v>
      </c>
      <c r="O8" s="434">
        <v>116</v>
      </c>
      <c r="P8" s="434">
        <v>5</v>
      </c>
      <c r="Q8" s="435">
        <v>1</v>
      </c>
      <c r="R8" s="436">
        <f>12+30</f>
        <v>42</v>
      </c>
    </row>
    <row r="9" spans="1:18" ht="21.75" customHeight="1">
      <c r="A9" s="438" t="s">
        <v>69</v>
      </c>
      <c r="B9" s="432">
        <f t="shared" si="0"/>
        <v>603</v>
      </c>
      <c r="C9" s="433"/>
      <c r="D9" s="434">
        <f t="shared" si="1"/>
        <v>453</v>
      </c>
      <c r="E9" s="432">
        <v>193</v>
      </c>
      <c r="F9" s="433"/>
      <c r="G9" s="432">
        <v>238</v>
      </c>
      <c r="H9" s="433"/>
      <c r="I9" s="434">
        <v>22</v>
      </c>
      <c r="J9" s="435">
        <v>51</v>
      </c>
      <c r="K9" s="437">
        <f>34+65</f>
        <v>99</v>
      </c>
      <c r="L9" s="434">
        <f>M9+Q9+R9</f>
        <v>296</v>
      </c>
      <c r="M9" s="434">
        <f>SUM(N9:P9)</f>
        <v>256</v>
      </c>
      <c r="N9" s="434">
        <v>107</v>
      </c>
      <c r="O9" s="434">
        <v>134</v>
      </c>
      <c r="P9" s="434">
        <v>15</v>
      </c>
      <c r="Q9" s="439">
        <v>0</v>
      </c>
      <c r="R9" s="436">
        <f>19+21</f>
        <v>40</v>
      </c>
    </row>
    <row r="10" spans="1:18" ht="21.75" customHeight="1">
      <c r="A10" s="431" t="s">
        <v>188</v>
      </c>
      <c r="B10" s="432">
        <f t="shared" si="0"/>
        <v>541</v>
      </c>
      <c r="C10" s="433"/>
      <c r="D10" s="434">
        <f t="shared" si="1"/>
        <v>413</v>
      </c>
      <c r="E10" s="432">
        <v>159</v>
      </c>
      <c r="F10" s="433"/>
      <c r="G10" s="432">
        <v>224</v>
      </c>
      <c r="H10" s="433"/>
      <c r="I10" s="434">
        <v>30</v>
      </c>
      <c r="J10" s="435">
        <v>39</v>
      </c>
      <c r="K10" s="437">
        <f>34+55</f>
        <v>89</v>
      </c>
      <c r="L10" s="434">
        <f>M10+Q10+R10</f>
        <v>276</v>
      </c>
      <c r="M10" s="434">
        <f>SUM(N10:P10)</f>
        <v>243</v>
      </c>
      <c r="N10" s="434">
        <v>99</v>
      </c>
      <c r="O10" s="434">
        <v>122</v>
      </c>
      <c r="P10" s="434">
        <v>22</v>
      </c>
      <c r="Q10" s="439">
        <v>0</v>
      </c>
      <c r="R10" s="436">
        <f>20+13</f>
        <v>33</v>
      </c>
    </row>
    <row r="11" spans="1:18" ht="21.75" customHeight="1">
      <c r="A11" s="431" t="s">
        <v>189</v>
      </c>
      <c r="B11" s="432">
        <f t="shared" si="0"/>
        <v>142</v>
      </c>
      <c r="C11" s="433"/>
      <c r="D11" s="434">
        <f t="shared" si="1"/>
        <v>93</v>
      </c>
      <c r="E11" s="432">
        <v>40</v>
      </c>
      <c r="F11" s="433"/>
      <c r="G11" s="432">
        <v>48</v>
      </c>
      <c r="H11" s="433"/>
      <c r="I11" s="434">
        <v>5</v>
      </c>
      <c r="J11" s="435">
        <v>13</v>
      </c>
      <c r="K11" s="437">
        <f>11+25</f>
        <v>36</v>
      </c>
      <c r="L11" s="434">
        <f>M11+Q11+R11</f>
        <v>73</v>
      </c>
      <c r="M11" s="434">
        <f aca="true" t="shared" si="2" ref="M11:M18">SUM(N11:P11)</f>
        <v>57</v>
      </c>
      <c r="N11" s="434">
        <v>27</v>
      </c>
      <c r="O11" s="434">
        <v>26</v>
      </c>
      <c r="P11" s="434">
        <v>4</v>
      </c>
      <c r="Q11" s="439">
        <v>0</v>
      </c>
      <c r="R11" s="436">
        <f>8+8</f>
        <v>16</v>
      </c>
    </row>
    <row r="12" spans="1:18" ht="21.75" customHeight="1">
      <c r="A12" s="431" t="s">
        <v>190</v>
      </c>
      <c r="B12" s="432">
        <f t="shared" si="0"/>
        <v>89</v>
      </c>
      <c r="C12" s="433"/>
      <c r="D12" s="434">
        <f t="shared" si="1"/>
        <v>72</v>
      </c>
      <c r="E12" s="432">
        <v>34</v>
      </c>
      <c r="F12" s="433"/>
      <c r="G12" s="432">
        <v>36</v>
      </c>
      <c r="H12" s="433"/>
      <c r="I12" s="434">
        <v>2</v>
      </c>
      <c r="J12" s="435">
        <v>6</v>
      </c>
      <c r="K12" s="437">
        <f>2+9</f>
        <v>11</v>
      </c>
      <c r="L12" s="434">
        <f>M12+Q12+R12</f>
        <v>42</v>
      </c>
      <c r="M12" s="434">
        <f>SUM(N12:P12)</f>
        <v>38</v>
      </c>
      <c r="N12" s="434">
        <v>17</v>
      </c>
      <c r="O12" s="434">
        <v>19</v>
      </c>
      <c r="P12" s="434">
        <v>2</v>
      </c>
      <c r="Q12" s="439">
        <v>0</v>
      </c>
      <c r="R12" s="436">
        <f>1+3</f>
        <v>4</v>
      </c>
    </row>
    <row r="13" spans="1:18" ht="21.75" customHeight="1">
      <c r="A13" s="431" t="s">
        <v>191</v>
      </c>
      <c r="B13" s="432">
        <f t="shared" si="0"/>
        <v>1837</v>
      </c>
      <c r="C13" s="433"/>
      <c r="D13" s="434">
        <f t="shared" si="1"/>
        <v>1327</v>
      </c>
      <c r="E13" s="432">
        <v>502</v>
      </c>
      <c r="F13" s="433"/>
      <c r="G13" s="432">
        <v>757</v>
      </c>
      <c r="H13" s="433"/>
      <c r="I13" s="434">
        <v>68</v>
      </c>
      <c r="J13" s="435">
        <v>138</v>
      </c>
      <c r="K13" s="437">
        <f>105+267</f>
        <v>372</v>
      </c>
      <c r="L13" s="434">
        <f aca="true" t="shared" si="3" ref="L13:L19">M13+Q13+R13</f>
        <v>899</v>
      </c>
      <c r="M13" s="434">
        <f t="shared" si="2"/>
        <v>763</v>
      </c>
      <c r="N13" s="434">
        <v>306</v>
      </c>
      <c r="O13" s="434">
        <v>415</v>
      </c>
      <c r="P13" s="434">
        <v>42</v>
      </c>
      <c r="Q13" s="435">
        <v>2</v>
      </c>
      <c r="R13" s="436">
        <f>54+80</f>
        <v>134</v>
      </c>
    </row>
    <row r="14" spans="1:18" ht="21.75" customHeight="1">
      <c r="A14" s="431" t="s">
        <v>192</v>
      </c>
      <c r="B14" s="432">
        <f t="shared" si="0"/>
        <v>984</v>
      </c>
      <c r="C14" s="433"/>
      <c r="D14" s="434">
        <f t="shared" si="1"/>
        <v>685</v>
      </c>
      <c r="E14" s="432">
        <v>241</v>
      </c>
      <c r="F14" s="433"/>
      <c r="G14" s="432">
        <v>408</v>
      </c>
      <c r="H14" s="433"/>
      <c r="I14" s="434">
        <v>36</v>
      </c>
      <c r="J14" s="435">
        <v>93</v>
      </c>
      <c r="K14" s="437">
        <f>67+139</f>
        <v>206</v>
      </c>
      <c r="L14" s="434">
        <f t="shared" si="3"/>
        <v>505</v>
      </c>
      <c r="M14" s="434">
        <f t="shared" si="2"/>
        <v>422</v>
      </c>
      <c r="N14" s="434">
        <v>158</v>
      </c>
      <c r="O14" s="434">
        <v>238</v>
      </c>
      <c r="P14" s="434">
        <v>26</v>
      </c>
      <c r="Q14" s="439">
        <v>0</v>
      </c>
      <c r="R14" s="436">
        <f>35+48</f>
        <v>83</v>
      </c>
    </row>
    <row r="15" spans="1:18" ht="21.75" customHeight="1">
      <c r="A15" s="431" t="s">
        <v>193</v>
      </c>
      <c r="B15" s="432">
        <f t="shared" si="0"/>
        <v>140</v>
      </c>
      <c r="C15" s="433"/>
      <c r="D15" s="434">
        <f t="shared" si="1"/>
        <v>109</v>
      </c>
      <c r="E15" s="432">
        <v>48</v>
      </c>
      <c r="F15" s="433"/>
      <c r="G15" s="432">
        <v>59</v>
      </c>
      <c r="H15" s="433"/>
      <c r="I15" s="434">
        <v>2</v>
      </c>
      <c r="J15" s="435">
        <v>9</v>
      </c>
      <c r="K15" s="437">
        <f>9+13</f>
        <v>22</v>
      </c>
      <c r="L15" s="434">
        <f t="shared" si="3"/>
        <v>67</v>
      </c>
      <c r="M15" s="434">
        <f t="shared" si="2"/>
        <v>60</v>
      </c>
      <c r="N15" s="434">
        <v>31</v>
      </c>
      <c r="O15" s="434">
        <v>28</v>
      </c>
      <c r="P15" s="434">
        <v>1</v>
      </c>
      <c r="Q15" s="439">
        <v>0</v>
      </c>
      <c r="R15" s="436">
        <f>3+4</f>
        <v>7</v>
      </c>
    </row>
    <row r="16" spans="1:18" ht="21.75" customHeight="1">
      <c r="A16" s="431" t="s">
        <v>194</v>
      </c>
      <c r="B16" s="432">
        <f t="shared" si="0"/>
        <v>787</v>
      </c>
      <c r="C16" s="433"/>
      <c r="D16" s="434">
        <f t="shared" si="1"/>
        <v>579</v>
      </c>
      <c r="E16" s="432">
        <v>240</v>
      </c>
      <c r="F16" s="433"/>
      <c r="G16" s="432">
        <v>320</v>
      </c>
      <c r="H16" s="433"/>
      <c r="I16" s="434">
        <v>19</v>
      </c>
      <c r="J16" s="435">
        <v>64</v>
      </c>
      <c r="K16" s="437">
        <f>53+91</f>
        <v>144</v>
      </c>
      <c r="L16" s="434">
        <f t="shared" si="3"/>
        <v>395</v>
      </c>
      <c r="M16" s="434">
        <f t="shared" si="2"/>
        <v>345</v>
      </c>
      <c r="N16" s="434">
        <v>144</v>
      </c>
      <c r="O16" s="434">
        <v>187</v>
      </c>
      <c r="P16" s="434">
        <v>14</v>
      </c>
      <c r="Q16" s="439">
        <v>0</v>
      </c>
      <c r="R16" s="436">
        <f>21+29</f>
        <v>50</v>
      </c>
    </row>
    <row r="17" spans="1:18" s="60" customFormat="1" ht="21.75" customHeight="1">
      <c r="A17" s="440" t="s">
        <v>195</v>
      </c>
      <c r="B17" s="441">
        <f t="shared" si="0"/>
        <v>1824</v>
      </c>
      <c r="C17" s="442"/>
      <c r="D17" s="443">
        <f t="shared" si="1"/>
        <v>1335</v>
      </c>
      <c r="E17" s="441">
        <v>569</v>
      </c>
      <c r="F17" s="442"/>
      <c r="G17" s="441">
        <v>711</v>
      </c>
      <c r="H17" s="442"/>
      <c r="I17" s="443">
        <v>55</v>
      </c>
      <c r="J17" s="444">
        <v>135</v>
      </c>
      <c r="K17" s="445">
        <f>117+237</f>
        <v>354</v>
      </c>
      <c r="L17" s="443">
        <f t="shared" si="3"/>
        <v>926</v>
      </c>
      <c r="M17" s="443">
        <f t="shared" si="2"/>
        <v>781</v>
      </c>
      <c r="N17" s="443">
        <v>365</v>
      </c>
      <c r="O17" s="443">
        <v>377</v>
      </c>
      <c r="P17" s="443">
        <v>39</v>
      </c>
      <c r="Q17" s="444">
        <v>3</v>
      </c>
      <c r="R17" s="446">
        <f>64+78</f>
        <v>142</v>
      </c>
    </row>
    <row r="18" spans="1:18" ht="21.75" customHeight="1">
      <c r="A18" s="431" t="s">
        <v>196</v>
      </c>
      <c r="B18" s="432">
        <f t="shared" si="0"/>
        <v>1005</v>
      </c>
      <c r="C18" s="433"/>
      <c r="D18" s="434">
        <f t="shared" si="1"/>
        <v>771</v>
      </c>
      <c r="E18" s="432">
        <v>391</v>
      </c>
      <c r="F18" s="433"/>
      <c r="G18" s="432">
        <v>359</v>
      </c>
      <c r="H18" s="433"/>
      <c r="I18" s="434">
        <v>21</v>
      </c>
      <c r="J18" s="435">
        <v>65</v>
      </c>
      <c r="K18" s="437">
        <f>67+102</f>
        <v>169</v>
      </c>
      <c r="L18" s="434">
        <f t="shared" si="3"/>
        <v>490</v>
      </c>
      <c r="M18" s="434">
        <f t="shared" si="2"/>
        <v>434</v>
      </c>
      <c r="N18" s="434">
        <v>225</v>
      </c>
      <c r="O18" s="434">
        <v>197</v>
      </c>
      <c r="P18" s="434">
        <v>12</v>
      </c>
      <c r="Q18" s="439">
        <v>0</v>
      </c>
      <c r="R18" s="436">
        <f>35+21</f>
        <v>56</v>
      </c>
    </row>
    <row r="19" spans="1:18" ht="22.5" customHeight="1" thickBot="1">
      <c r="A19" s="447" t="s">
        <v>197</v>
      </c>
      <c r="B19" s="448">
        <f t="shared" si="0"/>
        <v>1227</v>
      </c>
      <c r="C19" s="449"/>
      <c r="D19" s="450">
        <f t="shared" si="1"/>
        <v>905</v>
      </c>
      <c r="E19" s="448">
        <v>377</v>
      </c>
      <c r="F19" s="449"/>
      <c r="G19" s="448">
        <v>485</v>
      </c>
      <c r="H19" s="449"/>
      <c r="I19" s="450">
        <v>43</v>
      </c>
      <c r="J19" s="451">
        <v>108</v>
      </c>
      <c r="K19" s="452">
        <f>51+163</f>
        <v>214</v>
      </c>
      <c r="L19" s="450">
        <f t="shared" si="3"/>
        <v>628</v>
      </c>
      <c r="M19" s="450">
        <f>SUM(N19:P19)</f>
        <v>534</v>
      </c>
      <c r="N19" s="450">
        <v>233</v>
      </c>
      <c r="O19" s="450">
        <v>273</v>
      </c>
      <c r="P19" s="450">
        <v>28</v>
      </c>
      <c r="Q19" s="453">
        <v>0</v>
      </c>
      <c r="R19" s="454">
        <f>29+65</f>
        <v>94</v>
      </c>
    </row>
    <row r="20" ht="12" customHeight="1"/>
    <row r="21" ht="12" customHeight="1"/>
    <row r="22" spans="1:10" ht="20.25" customHeight="1" thickBot="1">
      <c r="A22" s="455" t="s">
        <v>198</v>
      </c>
      <c r="I22" s="456" t="s">
        <v>199</v>
      </c>
      <c r="J22" s="456"/>
    </row>
    <row r="23" spans="1:10" ht="16.5" customHeight="1">
      <c r="A23" s="152" t="s">
        <v>52</v>
      </c>
      <c r="B23" s="457" t="s">
        <v>200</v>
      </c>
      <c r="C23" s="457"/>
      <c r="D23" s="457"/>
      <c r="E23" s="457"/>
      <c r="F23" s="457"/>
      <c r="G23" s="457"/>
      <c r="H23" s="457"/>
      <c r="I23" s="458"/>
      <c r="J23" s="244"/>
    </row>
    <row r="24" spans="1:10" ht="12" customHeight="1">
      <c r="A24" s="459"/>
      <c r="B24" s="460"/>
      <c r="C24" s="460"/>
      <c r="D24" s="460"/>
      <c r="E24" s="460"/>
      <c r="F24" s="460"/>
      <c r="G24" s="460"/>
      <c r="H24" s="460"/>
      <c r="I24" s="461"/>
      <c r="J24" s="244"/>
    </row>
    <row r="25" spans="1:10" ht="17.25" customHeight="1">
      <c r="A25" s="459"/>
      <c r="B25" s="460" t="s">
        <v>201</v>
      </c>
      <c r="C25" s="460"/>
      <c r="D25" s="460"/>
      <c r="E25" s="460" t="s">
        <v>202</v>
      </c>
      <c r="F25" s="460"/>
      <c r="G25" s="460"/>
      <c r="H25" s="460" t="s">
        <v>203</v>
      </c>
      <c r="I25" s="461"/>
      <c r="J25" s="244"/>
    </row>
    <row r="26" spans="1:10" ht="27.75" customHeight="1">
      <c r="A26" s="459"/>
      <c r="B26" s="460"/>
      <c r="C26" s="460"/>
      <c r="D26" s="460"/>
      <c r="E26" s="460"/>
      <c r="F26" s="460"/>
      <c r="G26" s="460"/>
      <c r="H26" s="460"/>
      <c r="I26" s="461"/>
      <c r="J26" s="244"/>
    </row>
    <row r="27" spans="1:10" ht="21.75" customHeight="1">
      <c r="A27" s="462" t="s">
        <v>19</v>
      </c>
      <c r="B27" s="463">
        <v>63.4</v>
      </c>
      <c r="C27" s="463"/>
      <c r="D27" s="463"/>
      <c r="E27" s="464">
        <v>63.3</v>
      </c>
      <c r="F27" s="464"/>
      <c r="G27" s="464"/>
      <c r="H27" s="465">
        <v>66.4</v>
      </c>
      <c r="I27" s="466"/>
      <c r="J27" s="27"/>
    </row>
    <row r="28" spans="1:10" ht="19.5" customHeight="1">
      <c r="A28" s="431" t="s">
        <v>187</v>
      </c>
      <c r="B28" s="463">
        <v>63.5</v>
      </c>
      <c r="C28" s="463"/>
      <c r="D28" s="463"/>
      <c r="E28" s="464">
        <v>63.2</v>
      </c>
      <c r="F28" s="464"/>
      <c r="G28" s="464"/>
      <c r="H28" s="465">
        <v>67.5</v>
      </c>
      <c r="I28" s="466"/>
      <c r="J28" s="27"/>
    </row>
    <row r="29" spans="1:10" ht="19.5" customHeight="1">
      <c r="A29" s="438" t="s">
        <v>69</v>
      </c>
      <c r="B29" s="463">
        <v>65.7</v>
      </c>
      <c r="C29" s="463"/>
      <c r="D29" s="463"/>
      <c r="E29" s="464">
        <v>65.9</v>
      </c>
      <c r="F29" s="464"/>
      <c r="G29" s="464"/>
      <c r="H29" s="465">
        <v>62.9</v>
      </c>
      <c r="I29" s="466"/>
      <c r="J29" s="27"/>
    </row>
    <row r="30" spans="1:10" ht="19.5" customHeight="1">
      <c r="A30" s="431" t="s">
        <v>188</v>
      </c>
      <c r="B30" s="463">
        <v>62.3</v>
      </c>
      <c r="C30" s="463"/>
      <c r="D30" s="463"/>
      <c r="E30" s="464">
        <v>62.1</v>
      </c>
      <c r="F30" s="464"/>
      <c r="G30" s="464"/>
      <c r="H30" s="465">
        <v>68.3</v>
      </c>
      <c r="I30" s="466"/>
      <c r="J30" s="27"/>
    </row>
    <row r="31" spans="1:10" ht="19.5" customHeight="1">
      <c r="A31" s="431" t="s">
        <v>189</v>
      </c>
      <c r="B31" s="463">
        <v>64.2</v>
      </c>
      <c r="C31" s="463"/>
      <c r="D31" s="463"/>
      <c r="E31" s="464">
        <v>63.8</v>
      </c>
      <c r="F31" s="464"/>
      <c r="G31" s="464"/>
      <c r="H31" s="465">
        <v>70</v>
      </c>
      <c r="I31" s="466"/>
      <c r="J31" s="27"/>
    </row>
    <row r="32" spans="1:10" ht="19.5" customHeight="1">
      <c r="A32" s="431" t="s">
        <v>190</v>
      </c>
      <c r="B32" s="463">
        <v>67.9</v>
      </c>
      <c r="C32" s="463"/>
      <c r="D32" s="463"/>
      <c r="E32" s="464">
        <v>67</v>
      </c>
      <c r="F32" s="464"/>
      <c r="G32" s="464"/>
      <c r="H32" s="465">
        <v>72.2</v>
      </c>
      <c r="I32" s="466"/>
      <c r="J32" s="27"/>
    </row>
    <row r="33" spans="1:10" ht="19.5" customHeight="1">
      <c r="A33" s="431" t="s">
        <v>191</v>
      </c>
      <c r="B33" s="463">
        <v>64</v>
      </c>
      <c r="C33" s="463"/>
      <c r="D33" s="463"/>
      <c r="E33" s="464">
        <v>63.9</v>
      </c>
      <c r="F33" s="464"/>
      <c r="G33" s="464"/>
      <c r="H33" s="465">
        <v>66.9</v>
      </c>
      <c r="I33" s="466"/>
      <c r="J33" s="27"/>
    </row>
    <row r="34" spans="1:10" ht="19.5" customHeight="1">
      <c r="A34" s="431" t="s">
        <v>192</v>
      </c>
      <c r="B34" s="463">
        <v>63.2</v>
      </c>
      <c r="C34" s="463"/>
      <c r="D34" s="463"/>
      <c r="E34" s="464">
        <v>63.2</v>
      </c>
      <c r="F34" s="464"/>
      <c r="G34" s="464"/>
      <c r="H34" s="465">
        <v>63.9</v>
      </c>
      <c r="I34" s="466"/>
      <c r="J34" s="27"/>
    </row>
    <row r="35" spans="1:10" ht="19.5" customHeight="1">
      <c r="A35" s="431" t="s">
        <v>193</v>
      </c>
      <c r="B35" s="463">
        <v>66.8</v>
      </c>
      <c r="C35" s="463"/>
      <c r="D35" s="463"/>
      <c r="E35" s="464">
        <v>67.1</v>
      </c>
      <c r="F35" s="464"/>
      <c r="G35" s="464"/>
      <c r="H35" s="465">
        <v>64</v>
      </c>
      <c r="I35" s="466"/>
      <c r="J35" s="27"/>
    </row>
    <row r="36" spans="1:10" ht="19.5" customHeight="1">
      <c r="A36" s="431" t="s">
        <v>194</v>
      </c>
      <c r="B36" s="463">
        <v>63</v>
      </c>
      <c r="C36" s="463"/>
      <c r="D36" s="463"/>
      <c r="E36" s="464">
        <v>62.8</v>
      </c>
      <c r="F36" s="464"/>
      <c r="G36" s="464"/>
      <c r="H36" s="465">
        <v>72.8</v>
      </c>
      <c r="I36" s="466"/>
      <c r="J36" s="27"/>
    </row>
    <row r="37" spans="1:10" ht="19.5" customHeight="1">
      <c r="A37" s="431" t="s">
        <v>195</v>
      </c>
      <c r="B37" s="467">
        <v>63.7</v>
      </c>
      <c r="C37" s="467"/>
      <c r="D37" s="467"/>
      <c r="E37" s="468">
        <v>63.8</v>
      </c>
      <c r="F37" s="468"/>
      <c r="G37" s="468"/>
      <c r="H37" s="469">
        <v>59.7</v>
      </c>
      <c r="I37" s="470"/>
      <c r="J37" s="27"/>
    </row>
    <row r="38" spans="1:10" ht="19.5" customHeight="1">
      <c r="A38" s="431" t="s">
        <v>196</v>
      </c>
      <c r="B38" s="467">
        <v>62.4</v>
      </c>
      <c r="C38" s="467"/>
      <c r="D38" s="467"/>
      <c r="E38" s="468">
        <v>62.2</v>
      </c>
      <c r="F38" s="468"/>
      <c r="G38" s="468"/>
      <c r="H38" s="469">
        <v>66.5</v>
      </c>
      <c r="I38" s="470"/>
      <c r="J38" s="27"/>
    </row>
    <row r="39" spans="1:10" ht="19.5" customHeight="1" thickBot="1">
      <c r="A39" s="447" t="s">
        <v>197</v>
      </c>
      <c r="B39" s="471">
        <v>62.6</v>
      </c>
      <c r="C39" s="471"/>
      <c r="D39" s="471"/>
      <c r="E39" s="472">
        <v>62.1</v>
      </c>
      <c r="F39" s="472"/>
      <c r="G39" s="472"/>
      <c r="H39" s="473">
        <v>68.5</v>
      </c>
      <c r="I39" s="474"/>
      <c r="J39" s="27"/>
    </row>
    <row r="40" spans="1:19" ht="19.5" customHeight="1">
      <c r="A40" s="475"/>
      <c r="B40" s="475"/>
      <c r="S40" s="27"/>
    </row>
    <row r="41" ht="17.25" customHeight="1"/>
    <row r="42" ht="13.5">
      <c r="Q42" s="476"/>
    </row>
    <row r="91" spans="1:10" ht="13.5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2" ht="13.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8" ht="13.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3.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13.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13.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13.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13.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13.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ht="13.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ht="13.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ht="13.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ht="13.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ht="13.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ht="13.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ht="13.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ht="13.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 ht="13.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ht="13.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 ht="13.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ht="13.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ht="13.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1:18" ht="13.5">
      <c r="K114" s="27"/>
      <c r="L114" s="27"/>
      <c r="M114" s="27"/>
      <c r="N114" s="27"/>
      <c r="O114" s="27"/>
      <c r="P114" s="27"/>
      <c r="Q114" s="27"/>
      <c r="R114" s="27"/>
    </row>
    <row r="115" spans="11:18" ht="13.5">
      <c r="K115" s="27"/>
      <c r="L115" s="27"/>
      <c r="M115" s="27"/>
      <c r="N115" s="27"/>
      <c r="O115" s="27"/>
      <c r="P115" s="27"/>
      <c r="Q115" s="27"/>
      <c r="R115" s="27"/>
    </row>
    <row r="116" spans="13:18" ht="13.5">
      <c r="M116" s="27"/>
      <c r="N116" s="27"/>
      <c r="O116" s="27"/>
      <c r="P116" s="27"/>
      <c r="Q116" s="27"/>
      <c r="R116" s="27"/>
    </row>
  </sheetData>
  <sheetProtection/>
  <mergeCells count="97">
    <mergeCell ref="B38:D38"/>
    <mergeCell ref="E38:G38"/>
    <mergeCell ref="H38:I38"/>
    <mergeCell ref="B39:D39"/>
    <mergeCell ref="E39:G39"/>
    <mergeCell ref="H39:I39"/>
    <mergeCell ref="B36:D36"/>
    <mergeCell ref="E36:G36"/>
    <mergeCell ref="H36:I36"/>
    <mergeCell ref="B37:D37"/>
    <mergeCell ref="E37:G37"/>
    <mergeCell ref="H37:I37"/>
    <mergeCell ref="B34:D34"/>
    <mergeCell ref="E34:G34"/>
    <mergeCell ref="H34:I34"/>
    <mergeCell ref="B35:D35"/>
    <mergeCell ref="E35:G35"/>
    <mergeCell ref="H35:I35"/>
    <mergeCell ref="B32:D32"/>
    <mergeCell ref="E32:G32"/>
    <mergeCell ref="H32:I32"/>
    <mergeCell ref="B33:D33"/>
    <mergeCell ref="E33:G33"/>
    <mergeCell ref="H33:I33"/>
    <mergeCell ref="B30:D30"/>
    <mergeCell ref="E30:G30"/>
    <mergeCell ref="H30:I30"/>
    <mergeCell ref="B31:D31"/>
    <mergeCell ref="E31:G31"/>
    <mergeCell ref="H31:I31"/>
    <mergeCell ref="B28:D28"/>
    <mergeCell ref="E28:G28"/>
    <mergeCell ref="H28:I28"/>
    <mergeCell ref="B29:D29"/>
    <mergeCell ref="E29:G29"/>
    <mergeCell ref="H29:I29"/>
    <mergeCell ref="A23:A26"/>
    <mergeCell ref="B23:I24"/>
    <mergeCell ref="B25:D26"/>
    <mergeCell ref="E25:G26"/>
    <mergeCell ref="H25:I26"/>
    <mergeCell ref="B27:D27"/>
    <mergeCell ref="E27:G27"/>
    <mergeCell ref="H27:I27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2:C12"/>
    <mergeCell ref="E12:F12"/>
    <mergeCell ref="G12:H12"/>
    <mergeCell ref="B13:C13"/>
    <mergeCell ref="E13:F13"/>
    <mergeCell ref="G13:H13"/>
    <mergeCell ref="B10:C10"/>
    <mergeCell ref="E10:F10"/>
    <mergeCell ref="G10:H10"/>
    <mergeCell ref="B11:C11"/>
    <mergeCell ref="E11:F11"/>
    <mergeCell ref="G11:H11"/>
    <mergeCell ref="B8:C8"/>
    <mergeCell ref="E8:F8"/>
    <mergeCell ref="G8:H8"/>
    <mergeCell ref="B9:C9"/>
    <mergeCell ref="E9:F9"/>
    <mergeCell ref="G9:H9"/>
    <mergeCell ref="Q4:Q6"/>
    <mergeCell ref="R4:R6"/>
    <mergeCell ref="E6:F6"/>
    <mergeCell ref="G6:H6"/>
    <mergeCell ref="B7:C7"/>
    <mergeCell ref="E7:F7"/>
    <mergeCell ref="G7:H7"/>
    <mergeCell ref="R1:R2"/>
    <mergeCell ref="A3:A6"/>
    <mergeCell ref="B3:K3"/>
    <mergeCell ref="L3:R3"/>
    <mergeCell ref="B4:C6"/>
    <mergeCell ref="D4:I5"/>
    <mergeCell ref="J4:J6"/>
    <mergeCell ref="K4:K6"/>
    <mergeCell ref="L4:L6"/>
    <mergeCell ref="M4:P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&amp;P+41 -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50"/>
  <sheetViews>
    <sheetView zoomScaleSheetLayoutView="100" workbookViewId="0" topLeftCell="A1">
      <selection activeCell="I14" sqref="I14"/>
    </sheetView>
  </sheetViews>
  <sheetFormatPr defaultColWidth="9.00390625" defaultRowHeight="13.5"/>
  <cols>
    <col min="1" max="1" width="9.875" style="60" customWidth="1"/>
    <col min="2" max="2" width="10.50390625" style="60" customWidth="1"/>
    <col min="3" max="3" width="8.625" style="60" customWidth="1"/>
    <col min="4" max="10" width="7.625" style="60" customWidth="1"/>
    <col min="11" max="11" width="8.125" style="60" customWidth="1"/>
    <col min="12" max="12" width="7.625" style="60" customWidth="1"/>
    <col min="13" max="15" width="7.25390625" style="60" customWidth="1"/>
    <col min="16" max="19" width="7.625" style="60" customWidth="1"/>
    <col min="20" max="22" width="6.375" style="60" customWidth="1"/>
    <col min="23" max="16384" width="9.00390625" style="60" customWidth="1"/>
  </cols>
  <sheetData>
    <row r="1" ht="13.5">
      <c r="A1" s="60" t="s">
        <v>204</v>
      </c>
    </row>
    <row r="2" spans="19:22" ht="8.25" customHeight="1" thickBot="1">
      <c r="S2" s="477"/>
      <c r="T2" s="477"/>
      <c r="U2" s="478"/>
      <c r="V2" s="477"/>
    </row>
    <row r="3" spans="1:22" ht="16.5" customHeight="1">
      <c r="A3" s="479" t="s">
        <v>205</v>
      </c>
      <c r="B3" s="480"/>
      <c r="C3" s="481" t="s">
        <v>206</v>
      </c>
      <c r="D3" s="482" t="s">
        <v>207</v>
      </c>
      <c r="E3" s="483"/>
      <c r="F3" s="483"/>
      <c r="G3" s="483"/>
      <c r="H3" s="483"/>
      <c r="I3" s="483"/>
      <c r="J3" s="483"/>
      <c r="K3" s="484"/>
      <c r="L3" s="482" t="s">
        <v>208</v>
      </c>
      <c r="M3" s="483"/>
      <c r="N3" s="483"/>
      <c r="O3" s="483"/>
      <c r="P3" s="483"/>
      <c r="Q3" s="483"/>
      <c r="R3" s="483"/>
      <c r="S3" s="483"/>
      <c r="T3" s="485" t="s">
        <v>209</v>
      </c>
      <c r="U3" s="486"/>
      <c r="V3" s="487"/>
    </row>
    <row r="4" spans="1:22" ht="16.5" customHeight="1">
      <c r="A4" s="488"/>
      <c r="B4" s="489"/>
      <c r="C4" s="490"/>
      <c r="D4" s="491" t="s">
        <v>19</v>
      </c>
      <c r="E4" s="492" t="s">
        <v>210</v>
      </c>
      <c r="F4" s="492" t="s">
        <v>211</v>
      </c>
      <c r="G4" s="492" t="s">
        <v>212</v>
      </c>
      <c r="H4" s="492" t="s">
        <v>213</v>
      </c>
      <c r="I4" s="492" t="s">
        <v>214</v>
      </c>
      <c r="J4" s="492" t="s">
        <v>215</v>
      </c>
      <c r="K4" s="492" t="s">
        <v>216</v>
      </c>
      <c r="L4" s="492" t="s">
        <v>19</v>
      </c>
      <c r="M4" s="492" t="s">
        <v>210</v>
      </c>
      <c r="N4" s="492" t="s">
        <v>211</v>
      </c>
      <c r="O4" s="492" t="s">
        <v>212</v>
      </c>
      <c r="P4" s="492" t="s">
        <v>213</v>
      </c>
      <c r="Q4" s="492" t="s">
        <v>214</v>
      </c>
      <c r="R4" s="492" t="s">
        <v>215</v>
      </c>
      <c r="S4" s="493" t="s">
        <v>216</v>
      </c>
      <c r="T4" s="494" t="s">
        <v>217</v>
      </c>
      <c r="U4" s="491" t="s">
        <v>218</v>
      </c>
      <c r="V4" s="495" t="s">
        <v>219</v>
      </c>
    </row>
    <row r="5" spans="1:22" ht="16.5" customHeight="1">
      <c r="A5" s="496" t="s">
        <v>159</v>
      </c>
      <c r="B5" s="497" t="s">
        <v>220</v>
      </c>
      <c r="C5" s="498">
        <f>C7+C9+C11+C13+C15+C17+C19+C21+C23+C25+C27+C29</f>
        <v>7210</v>
      </c>
      <c r="D5" s="498">
        <f aca="true" t="shared" si="0" ref="D5:K6">D7+D9+D11+D13+D15+D17+D19+D21+D23+D25+D27+D29</f>
        <v>4082</v>
      </c>
      <c r="E5" s="498">
        <f>E7+E9+E11+E13+E15+E17+E19+E21+E23+E25+E27+E29</f>
        <v>1043</v>
      </c>
      <c r="F5" s="498">
        <f t="shared" si="0"/>
        <v>557</v>
      </c>
      <c r="G5" s="498">
        <f t="shared" si="0"/>
        <v>634</v>
      </c>
      <c r="H5" s="498">
        <f t="shared" si="0"/>
        <v>537</v>
      </c>
      <c r="I5" s="498">
        <f t="shared" si="0"/>
        <v>449</v>
      </c>
      <c r="J5" s="498">
        <f t="shared" si="0"/>
        <v>421</v>
      </c>
      <c r="K5" s="498">
        <f t="shared" si="0"/>
        <v>441</v>
      </c>
      <c r="L5" s="498">
        <f>L7+L9+L11+L13+L15+L17+L19+L21+L23+L25+L27+L29</f>
        <v>3128</v>
      </c>
      <c r="M5" s="498">
        <f aca="true" t="shared" si="1" ref="M5:S6">M7+M9+M11+M13+M15+M17+M19+M21+M23+M25+M27+M29</f>
        <v>1291</v>
      </c>
      <c r="N5" s="498">
        <f t="shared" si="1"/>
        <v>490</v>
      </c>
      <c r="O5" s="498">
        <f t="shared" si="1"/>
        <v>392</v>
      </c>
      <c r="P5" s="498">
        <f t="shared" si="1"/>
        <v>277</v>
      </c>
      <c r="Q5" s="498">
        <f>Q7+Q9+Q11+Q13+Q15+Q17+Q19+Q21+Q23+Q25+Q27+Q29</f>
        <v>221</v>
      </c>
      <c r="R5" s="498">
        <f t="shared" si="1"/>
        <v>238</v>
      </c>
      <c r="S5" s="499">
        <f t="shared" si="1"/>
        <v>219</v>
      </c>
      <c r="T5" s="500">
        <v>57</v>
      </c>
      <c r="U5" s="501">
        <v>55.5</v>
      </c>
      <c r="V5" s="502">
        <v>58.9</v>
      </c>
    </row>
    <row r="6" spans="1:22" ht="16.5" customHeight="1">
      <c r="A6" s="496"/>
      <c r="B6" s="503" t="s">
        <v>221</v>
      </c>
      <c r="C6" s="504">
        <f>C8+C10+C12+C14+C16+C18+C20+C22+C24+C26+C28+C30</f>
        <v>3933</v>
      </c>
      <c r="D6" s="504">
        <f t="shared" si="0"/>
        <v>2040</v>
      </c>
      <c r="E6" s="505">
        <f t="shared" si="0"/>
        <v>198</v>
      </c>
      <c r="F6" s="505">
        <f t="shared" si="0"/>
        <v>144</v>
      </c>
      <c r="G6" s="505">
        <f t="shared" si="0"/>
        <v>233</v>
      </c>
      <c r="H6" s="505">
        <f t="shared" si="0"/>
        <v>307</v>
      </c>
      <c r="I6" s="505">
        <f t="shared" si="0"/>
        <v>339</v>
      </c>
      <c r="J6" s="505">
        <f t="shared" si="0"/>
        <v>387</v>
      </c>
      <c r="K6" s="505">
        <f t="shared" si="0"/>
        <v>432</v>
      </c>
      <c r="L6" s="505">
        <f>L8+L10+L12+L14+L16+L18+L20+L22+L24+L26+L28+L30</f>
        <v>1893</v>
      </c>
      <c r="M6" s="505">
        <f t="shared" si="1"/>
        <v>462</v>
      </c>
      <c r="N6" s="505">
        <f t="shared" si="1"/>
        <v>279</v>
      </c>
      <c r="O6" s="505">
        <f t="shared" si="1"/>
        <v>263</v>
      </c>
      <c r="P6" s="505">
        <f t="shared" si="1"/>
        <v>240</v>
      </c>
      <c r="Q6" s="505">
        <f>Q8+Q10+Q12+Q14+Q16+Q18+Q20+Q22+Q24+Q26+Q28+Q30</f>
        <v>201</v>
      </c>
      <c r="R6" s="505">
        <f t="shared" si="1"/>
        <v>233</v>
      </c>
      <c r="S6" s="506">
        <f t="shared" si="1"/>
        <v>215</v>
      </c>
      <c r="T6" s="507">
        <v>65</v>
      </c>
      <c r="U6" s="508">
        <v>64.2</v>
      </c>
      <c r="V6" s="509">
        <v>65.8</v>
      </c>
    </row>
    <row r="7" spans="1:22" ht="16.5" customHeight="1">
      <c r="A7" s="510" t="s">
        <v>86</v>
      </c>
      <c r="B7" s="497" t="s">
        <v>220</v>
      </c>
      <c r="C7" s="498">
        <f aca="true" t="shared" si="2" ref="C7:C30">D7+L7</f>
        <v>424</v>
      </c>
      <c r="D7" s="498">
        <f>SUM(E7:K7)</f>
        <v>238</v>
      </c>
      <c r="E7" s="511">
        <v>57</v>
      </c>
      <c r="F7" s="511">
        <v>27</v>
      </c>
      <c r="G7" s="511">
        <v>28</v>
      </c>
      <c r="H7" s="511">
        <v>28</v>
      </c>
      <c r="I7" s="511">
        <v>28</v>
      </c>
      <c r="J7" s="511">
        <v>31</v>
      </c>
      <c r="K7" s="511">
        <v>39</v>
      </c>
      <c r="L7" s="498">
        <f aca="true" t="shared" si="3" ref="L7:L13">SUM(M7:S7)</f>
        <v>186</v>
      </c>
      <c r="M7" s="511">
        <v>61</v>
      </c>
      <c r="N7" s="511">
        <v>30</v>
      </c>
      <c r="O7" s="511">
        <v>21</v>
      </c>
      <c r="P7" s="511">
        <v>17</v>
      </c>
      <c r="Q7" s="511">
        <v>16</v>
      </c>
      <c r="R7" s="511">
        <v>16</v>
      </c>
      <c r="S7" s="512">
        <v>25</v>
      </c>
      <c r="T7" s="513">
        <v>56.5</v>
      </c>
      <c r="U7" s="514">
        <v>56</v>
      </c>
      <c r="V7" s="515">
        <v>57.2</v>
      </c>
    </row>
    <row r="8" spans="1:22" ht="16.5" customHeight="1">
      <c r="A8" s="510"/>
      <c r="B8" s="503" t="s">
        <v>221</v>
      </c>
      <c r="C8" s="504">
        <f>D8+L8</f>
        <v>280</v>
      </c>
      <c r="D8" s="516">
        <f>SUM(E8:K8)</f>
        <v>144</v>
      </c>
      <c r="E8" s="517">
        <v>10</v>
      </c>
      <c r="F8" s="517">
        <v>8</v>
      </c>
      <c r="G8" s="517">
        <v>16</v>
      </c>
      <c r="H8" s="517">
        <v>20</v>
      </c>
      <c r="I8" s="517">
        <v>23</v>
      </c>
      <c r="J8" s="517">
        <v>28</v>
      </c>
      <c r="K8" s="518">
        <v>39</v>
      </c>
      <c r="L8" s="516">
        <f t="shared" si="3"/>
        <v>136</v>
      </c>
      <c r="M8" s="517">
        <v>24</v>
      </c>
      <c r="N8" s="517">
        <v>22</v>
      </c>
      <c r="O8" s="517">
        <v>17</v>
      </c>
      <c r="P8" s="517">
        <v>17</v>
      </c>
      <c r="Q8" s="517">
        <v>15</v>
      </c>
      <c r="R8" s="517">
        <v>16</v>
      </c>
      <c r="S8" s="519">
        <v>25</v>
      </c>
      <c r="T8" s="520">
        <v>61.9</v>
      </c>
      <c r="U8" s="521">
        <v>61.9</v>
      </c>
      <c r="V8" s="522">
        <v>61.8</v>
      </c>
    </row>
    <row r="9" spans="1:22" ht="16.5" customHeight="1">
      <c r="A9" s="510" t="s">
        <v>69</v>
      </c>
      <c r="B9" s="497" t="s">
        <v>220</v>
      </c>
      <c r="C9" s="498">
        <f t="shared" si="2"/>
        <v>437</v>
      </c>
      <c r="D9" s="498">
        <f aca="true" t="shared" si="4" ref="D9:D30">SUM(E9:K9)</f>
        <v>243</v>
      </c>
      <c r="E9" s="511">
        <v>64</v>
      </c>
      <c r="F9" s="511">
        <v>38</v>
      </c>
      <c r="G9" s="511">
        <v>30</v>
      </c>
      <c r="H9" s="511">
        <v>33</v>
      </c>
      <c r="I9" s="511">
        <v>31</v>
      </c>
      <c r="J9" s="511">
        <v>27</v>
      </c>
      <c r="K9" s="511">
        <v>20</v>
      </c>
      <c r="L9" s="498">
        <f t="shared" si="3"/>
        <v>194</v>
      </c>
      <c r="M9" s="511">
        <v>67</v>
      </c>
      <c r="N9" s="511">
        <v>40</v>
      </c>
      <c r="O9" s="511">
        <v>28</v>
      </c>
      <c r="P9" s="511">
        <v>17</v>
      </c>
      <c r="Q9" s="511">
        <v>10</v>
      </c>
      <c r="R9" s="511">
        <v>17</v>
      </c>
      <c r="S9" s="512">
        <v>15</v>
      </c>
      <c r="T9" s="513">
        <v>59.1</v>
      </c>
      <c r="U9" s="514">
        <v>57</v>
      </c>
      <c r="V9" s="515">
        <v>61.8</v>
      </c>
    </row>
    <row r="10" spans="1:22" ht="16.5" customHeight="1">
      <c r="A10" s="510"/>
      <c r="B10" s="503" t="s">
        <v>221</v>
      </c>
      <c r="C10" s="504">
        <f t="shared" si="2"/>
        <v>234</v>
      </c>
      <c r="D10" s="516">
        <f t="shared" si="4"/>
        <v>114</v>
      </c>
      <c r="E10" s="517">
        <v>8</v>
      </c>
      <c r="F10" s="517">
        <v>6</v>
      </c>
      <c r="G10" s="517">
        <v>14</v>
      </c>
      <c r="H10" s="517">
        <v>19</v>
      </c>
      <c r="I10" s="517">
        <v>24</v>
      </c>
      <c r="J10" s="517">
        <v>24</v>
      </c>
      <c r="K10" s="518">
        <v>19</v>
      </c>
      <c r="L10" s="516">
        <f t="shared" si="3"/>
        <v>120</v>
      </c>
      <c r="M10" s="517">
        <v>19</v>
      </c>
      <c r="N10" s="517">
        <v>22</v>
      </c>
      <c r="O10" s="517">
        <v>21</v>
      </c>
      <c r="P10" s="517">
        <v>16</v>
      </c>
      <c r="Q10" s="517">
        <v>10</v>
      </c>
      <c r="R10" s="517">
        <v>17</v>
      </c>
      <c r="S10" s="519">
        <v>15</v>
      </c>
      <c r="T10" s="520">
        <v>68.8</v>
      </c>
      <c r="U10" s="521">
        <v>68</v>
      </c>
      <c r="V10" s="522">
        <v>69.5</v>
      </c>
    </row>
    <row r="11" spans="1:22" ht="16.5" customHeight="1">
      <c r="A11" s="510" t="s">
        <v>222</v>
      </c>
      <c r="B11" s="497" t="s">
        <v>220</v>
      </c>
      <c r="C11" s="498">
        <f t="shared" si="2"/>
        <v>407</v>
      </c>
      <c r="D11" s="498">
        <f t="shared" si="4"/>
        <v>241</v>
      </c>
      <c r="E11" s="511">
        <v>55</v>
      </c>
      <c r="F11" s="511">
        <v>37</v>
      </c>
      <c r="G11" s="511">
        <v>43</v>
      </c>
      <c r="H11" s="511">
        <v>34</v>
      </c>
      <c r="I11" s="511">
        <v>33</v>
      </c>
      <c r="J11" s="511">
        <v>15</v>
      </c>
      <c r="K11" s="511">
        <v>24</v>
      </c>
      <c r="L11" s="498">
        <f t="shared" si="3"/>
        <v>166</v>
      </c>
      <c r="M11" s="511">
        <v>71</v>
      </c>
      <c r="N11" s="511">
        <v>25</v>
      </c>
      <c r="O11" s="511">
        <v>24</v>
      </c>
      <c r="P11" s="511">
        <v>8</v>
      </c>
      <c r="Q11" s="511">
        <v>12</v>
      </c>
      <c r="R11" s="511">
        <v>15</v>
      </c>
      <c r="S11" s="512">
        <v>11</v>
      </c>
      <c r="T11" s="513">
        <v>56.5</v>
      </c>
      <c r="U11" s="514">
        <v>54.5</v>
      </c>
      <c r="V11" s="515">
        <v>59.3</v>
      </c>
    </row>
    <row r="12" spans="1:22" ht="16.5" customHeight="1">
      <c r="A12" s="510"/>
      <c r="B12" s="503" t="s">
        <v>221</v>
      </c>
      <c r="C12" s="504">
        <f t="shared" si="2"/>
        <v>209</v>
      </c>
      <c r="D12" s="516">
        <f t="shared" si="4"/>
        <v>115</v>
      </c>
      <c r="E12" s="517">
        <v>15</v>
      </c>
      <c r="F12" s="517">
        <v>7</v>
      </c>
      <c r="G12" s="517">
        <v>12</v>
      </c>
      <c r="H12" s="517">
        <v>18</v>
      </c>
      <c r="I12" s="517">
        <v>24</v>
      </c>
      <c r="J12" s="517">
        <v>15</v>
      </c>
      <c r="K12" s="518">
        <v>24</v>
      </c>
      <c r="L12" s="516">
        <f t="shared" si="3"/>
        <v>94</v>
      </c>
      <c r="M12" s="517">
        <v>21</v>
      </c>
      <c r="N12" s="517">
        <v>12</v>
      </c>
      <c r="O12" s="517">
        <v>17</v>
      </c>
      <c r="P12" s="517">
        <v>7</v>
      </c>
      <c r="Q12" s="517">
        <v>11</v>
      </c>
      <c r="R12" s="517">
        <v>15</v>
      </c>
      <c r="S12" s="519">
        <v>11</v>
      </c>
      <c r="T12" s="520">
        <v>65.1</v>
      </c>
      <c r="U12" s="521">
        <v>63.1</v>
      </c>
      <c r="V12" s="522">
        <v>67.5</v>
      </c>
    </row>
    <row r="13" spans="1:22" ht="16.5" customHeight="1">
      <c r="A13" s="510" t="s">
        <v>223</v>
      </c>
      <c r="B13" s="497" t="s">
        <v>220</v>
      </c>
      <c r="C13" s="498">
        <f t="shared" si="2"/>
        <v>100</v>
      </c>
      <c r="D13" s="498">
        <f t="shared" si="4"/>
        <v>57</v>
      </c>
      <c r="E13" s="511">
        <v>11</v>
      </c>
      <c r="F13" s="511">
        <v>9</v>
      </c>
      <c r="G13" s="511">
        <v>12</v>
      </c>
      <c r="H13" s="511">
        <v>7</v>
      </c>
      <c r="I13" s="511">
        <v>3</v>
      </c>
      <c r="J13" s="511">
        <v>8</v>
      </c>
      <c r="K13" s="511">
        <v>7</v>
      </c>
      <c r="L13" s="498">
        <f t="shared" si="3"/>
        <v>43</v>
      </c>
      <c r="M13" s="511">
        <v>21</v>
      </c>
      <c r="N13" s="511">
        <v>6</v>
      </c>
      <c r="O13" s="511">
        <v>6</v>
      </c>
      <c r="P13" s="511">
        <v>2</v>
      </c>
      <c r="Q13" s="511">
        <v>3</v>
      </c>
      <c r="R13" s="511">
        <v>1</v>
      </c>
      <c r="S13" s="512">
        <v>4</v>
      </c>
      <c r="T13" s="513">
        <v>58.8</v>
      </c>
      <c r="U13" s="514">
        <v>59.3</v>
      </c>
      <c r="V13" s="515">
        <v>58.3</v>
      </c>
    </row>
    <row r="14" spans="1:22" ht="16.5" customHeight="1">
      <c r="A14" s="510"/>
      <c r="B14" s="503" t="s">
        <v>221</v>
      </c>
      <c r="C14" s="504">
        <f t="shared" si="2"/>
        <v>57</v>
      </c>
      <c r="D14" s="516">
        <f t="shared" si="4"/>
        <v>29</v>
      </c>
      <c r="E14" s="517">
        <v>2</v>
      </c>
      <c r="F14" s="517">
        <v>4</v>
      </c>
      <c r="G14" s="517">
        <v>3</v>
      </c>
      <c r="H14" s="517">
        <v>5</v>
      </c>
      <c r="I14" s="517">
        <v>2</v>
      </c>
      <c r="J14" s="517">
        <v>6</v>
      </c>
      <c r="K14" s="518">
        <v>7</v>
      </c>
      <c r="L14" s="516">
        <f aca="true" t="shared" si="5" ref="L14:L22">SUM(M14:S14)</f>
        <v>28</v>
      </c>
      <c r="M14" s="517">
        <v>12</v>
      </c>
      <c r="N14" s="517">
        <v>3</v>
      </c>
      <c r="O14" s="517">
        <v>3</v>
      </c>
      <c r="P14" s="517">
        <v>2</v>
      </c>
      <c r="Q14" s="517">
        <v>3</v>
      </c>
      <c r="R14" s="517">
        <v>1</v>
      </c>
      <c r="S14" s="519">
        <v>4</v>
      </c>
      <c r="T14" s="520">
        <v>64.5</v>
      </c>
      <c r="U14" s="521">
        <v>65.7</v>
      </c>
      <c r="V14" s="522">
        <v>63.3</v>
      </c>
    </row>
    <row r="15" spans="1:22" ht="16.5" customHeight="1">
      <c r="A15" s="510" t="s">
        <v>224</v>
      </c>
      <c r="B15" s="497" t="s">
        <v>220</v>
      </c>
      <c r="C15" s="498">
        <f t="shared" si="2"/>
        <v>72</v>
      </c>
      <c r="D15" s="498">
        <f t="shared" si="4"/>
        <v>38</v>
      </c>
      <c r="E15" s="511">
        <v>8</v>
      </c>
      <c r="F15" s="511">
        <v>6</v>
      </c>
      <c r="G15" s="511">
        <v>8</v>
      </c>
      <c r="H15" s="511">
        <v>8</v>
      </c>
      <c r="I15" s="511">
        <v>3</v>
      </c>
      <c r="J15" s="511">
        <v>3</v>
      </c>
      <c r="K15" s="511">
        <v>2</v>
      </c>
      <c r="L15" s="498">
        <f t="shared" si="5"/>
        <v>34</v>
      </c>
      <c r="M15" s="511">
        <v>11</v>
      </c>
      <c r="N15" s="511">
        <v>5</v>
      </c>
      <c r="O15" s="511">
        <v>8</v>
      </c>
      <c r="P15" s="511">
        <v>6</v>
      </c>
      <c r="Q15" s="523">
        <v>0</v>
      </c>
      <c r="R15" s="511">
        <v>3</v>
      </c>
      <c r="S15" s="524">
        <v>1</v>
      </c>
      <c r="T15" s="513">
        <v>62</v>
      </c>
      <c r="U15" s="514">
        <v>59.9</v>
      </c>
      <c r="V15" s="515">
        <v>64.3</v>
      </c>
    </row>
    <row r="16" spans="1:22" ht="16.5" customHeight="1">
      <c r="A16" s="510"/>
      <c r="B16" s="503" t="s">
        <v>221</v>
      </c>
      <c r="C16" s="504">
        <f t="shared" si="2"/>
        <v>40</v>
      </c>
      <c r="D16" s="516">
        <f t="shared" si="4"/>
        <v>17</v>
      </c>
      <c r="E16" s="517">
        <v>1</v>
      </c>
      <c r="F16" s="517">
        <v>3</v>
      </c>
      <c r="G16" s="517">
        <v>2</v>
      </c>
      <c r="H16" s="517">
        <v>5</v>
      </c>
      <c r="I16" s="517">
        <v>2</v>
      </c>
      <c r="J16" s="517">
        <v>2</v>
      </c>
      <c r="K16" s="518">
        <v>2</v>
      </c>
      <c r="L16" s="516">
        <f t="shared" si="5"/>
        <v>23</v>
      </c>
      <c r="M16" s="517">
        <v>3</v>
      </c>
      <c r="N16" s="517">
        <v>3</v>
      </c>
      <c r="O16" s="517">
        <v>7</v>
      </c>
      <c r="P16" s="517">
        <v>6</v>
      </c>
      <c r="Q16" s="525">
        <v>0</v>
      </c>
      <c r="R16" s="517">
        <v>3</v>
      </c>
      <c r="S16" s="526">
        <v>1</v>
      </c>
      <c r="T16" s="520">
        <v>70</v>
      </c>
      <c r="U16" s="521">
        <v>68.3</v>
      </c>
      <c r="V16" s="522">
        <v>71.3</v>
      </c>
    </row>
    <row r="17" spans="1:22" ht="16.5" customHeight="1">
      <c r="A17" s="510" t="s">
        <v>225</v>
      </c>
      <c r="B17" s="497" t="s">
        <v>220</v>
      </c>
      <c r="C17" s="498">
        <f t="shared" si="2"/>
        <v>1350</v>
      </c>
      <c r="D17" s="498">
        <f t="shared" si="4"/>
        <v>763</v>
      </c>
      <c r="E17" s="511">
        <v>212</v>
      </c>
      <c r="F17" s="511">
        <v>116</v>
      </c>
      <c r="G17" s="511">
        <v>113</v>
      </c>
      <c r="H17" s="511">
        <v>107</v>
      </c>
      <c r="I17" s="511">
        <v>80</v>
      </c>
      <c r="J17" s="511">
        <v>84</v>
      </c>
      <c r="K17" s="511">
        <v>51</v>
      </c>
      <c r="L17" s="498">
        <f t="shared" si="5"/>
        <v>587</v>
      </c>
      <c r="M17" s="527">
        <v>270</v>
      </c>
      <c r="N17" s="511">
        <v>97</v>
      </c>
      <c r="O17" s="511">
        <v>73</v>
      </c>
      <c r="P17" s="511">
        <v>42</v>
      </c>
      <c r="Q17" s="511">
        <v>43</v>
      </c>
      <c r="R17" s="511">
        <v>34</v>
      </c>
      <c r="S17" s="512">
        <v>28</v>
      </c>
      <c r="T17" s="513">
        <v>56.3</v>
      </c>
      <c r="U17" s="514">
        <v>55.2</v>
      </c>
      <c r="V17" s="515">
        <v>57.7</v>
      </c>
    </row>
    <row r="18" spans="1:22" ht="16.5" customHeight="1">
      <c r="A18" s="510"/>
      <c r="B18" s="503" t="s">
        <v>221</v>
      </c>
      <c r="C18" s="504">
        <f t="shared" si="2"/>
        <v>684</v>
      </c>
      <c r="D18" s="516">
        <f t="shared" si="4"/>
        <v>350</v>
      </c>
      <c r="E18" s="517">
        <v>46</v>
      </c>
      <c r="F18" s="517">
        <v>29</v>
      </c>
      <c r="G18" s="517">
        <v>44</v>
      </c>
      <c r="H18" s="517">
        <v>56</v>
      </c>
      <c r="I18" s="517">
        <v>54</v>
      </c>
      <c r="J18" s="517">
        <v>74</v>
      </c>
      <c r="K18" s="518">
        <v>47</v>
      </c>
      <c r="L18" s="516">
        <f t="shared" si="5"/>
        <v>334</v>
      </c>
      <c r="M18" s="517">
        <v>99</v>
      </c>
      <c r="N18" s="517">
        <v>58</v>
      </c>
      <c r="O18" s="517">
        <v>50</v>
      </c>
      <c r="P18" s="517">
        <v>34</v>
      </c>
      <c r="Q18" s="517">
        <v>35</v>
      </c>
      <c r="R18" s="517">
        <v>32</v>
      </c>
      <c r="S18" s="519">
        <v>26</v>
      </c>
      <c r="T18" s="520">
        <v>64.8</v>
      </c>
      <c r="U18" s="521">
        <v>64.8</v>
      </c>
      <c r="V18" s="522">
        <v>64.8</v>
      </c>
    </row>
    <row r="19" spans="1:22" ht="16.5" customHeight="1">
      <c r="A19" s="510" t="s">
        <v>226</v>
      </c>
      <c r="B19" s="497" t="s">
        <v>220</v>
      </c>
      <c r="C19" s="498">
        <f t="shared" si="2"/>
        <v>703</v>
      </c>
      <c r="D19" s="498">
        <f t="shared" si="4"/>
        <v>409</v>
      </c>
      <c r="E19" s="511">
        <v>118</v>
      </c>
      <c r="F19" s="511">
        <v>75</v>
      </c>
      <c r="G19" s="511">
        <v>71</v>
      </c>
      <c r="H19" s="511">
        <v>52</v>
      </c>
      <c r="I19" s="511">
        <v>26</v>
      </c>
      <c r="J19" s="511">
        <v>39</v>
      </c>
      <c r="K19" s="511">
        <v>28</v>
      </c>
      <c r="L19" s="498">
        <f t="shared" si="5"/>
        <v>294</v>
      </c>
      <c r="M19" s="527">
        <v>142</v>
      </c>
      <c r="N19" s="511">
        <v>53</v>
      </c>
      <c r="O19" s="511">
        <v>29</v>
      </c>
      <c r="P19" s="511">
        <v>31</v>
      </c>
      <c r="Q19" s="511">
        <v>15</v>
      </c>
      <c r="R19" s="511">
        <v>20</v>
      </c>
      <c r="S19" s="512">
        <v>4</v>
      </c>
      <c r="T19" s="513">
        <v>57.1</v>
      </c>
      <c r="U19" s="514">
        <v>55.7</v>
      </c>
      <c r="V19" s="515">
        <v>59</v>
      </c>
    </row>
    <row r="20" spans="1:22" ht="16.5" customHeight="1">
      <c r="A20" s="510"/>
      <c r="B20" s="503" t="s">
        <v>221</v>
      </c>
      <c r="C20" s="504">
        <f t="shared" si="2"/>
        <v>358</v>
      </c>
      <c r="D20" s="516">
        <f t="shared" si="4"/>
        <v>183</v>
      </c>
      <c r="E20" s="517">
        <v>21</v>
      </c>
      <c r="F20" s="517">
        <v>20</v>
      </c>
      <c r="G20" s="517">
        <v>24</v>
      </c>
      <c r="H20" s="517">
        <v>32</v>
      </c>
      <c r="I20" s="517">
        <v>21</v>
      </c>
      <c r="J20" s="517">
        <v>37</v>
      </c>
      <c r="K20" s="518">
        <v>28</v>
      </c>
      <c r="L20" s="516">
        <f t="shared" si="5"/>
        <v>175</v>
      </c>
      <c r="M20" s="517">
        <v>59</v>
      </c>
      <c r="N20" s="517">
        <v>30</v>
      </c>
      <c r="O20" s="517">
        <v>21</v>
      </c>
      <c r="P20" s="517">
        <v>27</v>
      </c>
      <c r="Q20" s="517">
        <v>14</v>
      </c>
      <c r="R20" s="517">
        <v>20</v>
      </c>
      <c r="S20" s="519">
        <v>4</v>
      </c>
      <c r="T20" s="520">
        <v>64.4</v>
      </c>
      <c r="U20" s="521">
        <v>64</v>
      </c>
      <c r="V20" s="522">
        <v>64.9</v>
      </c>
    </row>
    <row r="21" spans="1:22" ht="16.5" customHeight="1">
      <c r="A21" s="510" t="s">
        <v>227</v>
      </c>
      <c r="B21" s="497" t="s">
        <v>220</v>
      </c>
      <c r="C21" s="498">
        <f t="shared" si="2"/>
        <v>107</v>
      </c>
      <c r="D21" s="498">
        <f t="shared" si="4"/>
        <v>56</v>
      </c>
      <c r="E21" s="511">
        <v>12</v>
      </c>
      <c r="F21" s="511">
        <v>5</v>
      </c>
      <c r="G21" s="511">
        <v>11</v>
      </c>
      <c r="H21" s="511">
        <v>7</v>
      </c>
      <c r="I21" s="511">
        <v>12</v>
      </c>
      <c r="J21" s="511">
        <v>4</v>
      </c>
      <c r="K21" s="511">
        <v>5</v>
      </c>
      <c r="L21" s="498">
        <f t="shared" si="5"/>
        <v>51</v>
      </c>
      <c r="M21" s="511">
        <v>26</v>
      </c>
      <c r="N21" s="511">
        <v>5</v>
      </c>
      <c r="O21" s="511">
        <v>7</v>
      </c>
      <c r="P21" s="511">
        <v>6</v>
      </c>
      <c r="Q21" s="511">
        <v>3</v>
      </c>
      <c r="R21" s="511">
        <v>4</v>
      </c>
      <c r="S21" s="512">
        <v>0</v>
      </c>
      <c r="T21" s="513">
        <v>59.3</v>
      </c>
      <c r="U21" s="514">
        <v>59.1</v>
      </c>
      <c r="V21" s="515">
        <v>59.5</v>
      </c>
    </row>
    <row r="22" spans="1:22" ht="16.5" customHeight="1">
      <c r="A22" s="510"/>
      <c r="B22" s="503" t="s">
        <v>221</v>
      </c>
      <c r="C22" s="504">
        <f t="shared" si="2"/>
        <v>61</v>
      </c>
      <c r="D22" s="516">
        <f t="shared" si="4"/>
        <v>33</v>
      </c>
      <c r="E22" s="528">
        <v>2</v>
      </c>
      <c r="F22" s="528">
        <v>3</v>
      </c>
      <c r="G22" s="528">
        <v>3</v>
      </c>
      <c r="H22" s="528">
        <v>4</v>
      </c>
      <c r="I22" s="528">
        <v>12</v>
      </c>
      <c r="J22" s="528">
        <v>4</v>
      </c>
      <c r="K22" s="518">
        <v>5</v>
      </c>
      <c r="L22" s="516">
        <f t="shared" si="5"/>
        <v>28</v>
      </c>
      <c r="M22" s="528">
        <v>9</v>
      </c>
      <c r="N22" s="528">
        <v>2</v>
      </c>
      <c r="O22" s="528">
        <v>5</v>
      </c>
      <c r="P22" s="528">
        <v>5</v>
      </c>
      <c r="Q22" s="528">
        <v>3</v>
      </c>
      <c r="R22" s="528">
        <v>4</v>
      </c>
      <c r="S22" s="519">
        <v>0</v>
      </c>
      <c r="T22" s="520">
        <v>68.1</v>
      </c>
      <c r="U22" s="521">
        <v>67.9</v>
      </c>
      <c r="V22" s="522">
        <v>68.3</v>
      </c>
    </row>
    <row r="23" spans="1:24" ht="16.5" customHeight="1">
      <c r="A23" s="510" t="s">
        <v>94</v>
      </c>
      <c r="B23" s="497" t="s">
        <v>220</v>
      </c>
      <c r="C23" s="498">
        <f t="shared" si="2"/>
        <v>595</v>
      </c>
      <c r="D23" s="498">
        <f t="shared" si="4"/>
        <v>339</v>
      </c>
      <c r="E23" s="511">
        <v>87</v>
      </c>
      <c r="F23" s="511">
        <v>49</v>
      </c>
      <c r="G23" s="511">
        <v>48</v>
      </c>
      <c r="H23" s="511">
        <v>55</v>
      </c>
      <c r="I23" s="511">
        <v>36</v>
      </c>
      <c r="J23" s="511">
        <v>42</v>
      </c>
      <c r="K23" s="511">
        <v>22</v>
      </c>
      <c r="L23" s="498">
        <f aca="true" t="shared" si="6" ref="L23:L30">SUM(M23:S23)</f>
        <v>256</v>
      </c>
      <c r="M23" s="527">
        <v>104</v>
      </c>
      <c r="N23" s="511">
        <v>42</v>
      </c>
      <c r="O23" s="511">
        <v>27</v>
      </c>
      <c r="P23" s="511">
        <v>35</v>
      </c>
      <c r="Q23" s="511">
        <v>19</v>
      </c>
      <c r="R23" s="511">
        <v>17</v>
      </c>
      <c r="S23" s="512">
        <v>12</v>
      </c>
      <c r="T23" s="513">
        <v>57</v>
      </c>
      <c r="U23" s="514">
        <v>55.4</v>
      </c>
      <c r="V23" s="515">
        <v>59.2</v>
      </c>
      <c r="W23" s="529"/>
      <c r="X23" s="529"/>
    </row>
    <row r="24" spans="1:22" ht="16.5" customHeight="1">
      <c r="A24" s="510"/>
      <c r="B24" s="503" t="s">
        <v>221</v>
      </c>
      <c r="C24" s="504">
        <f t="shared" si="2"/>
        <v>304</v>
      </c>
      <c r="D24" s="516">
        <f t="shared" si="4"/>
        <v>157</v>
      </c>
      <c r="E24" s="528">
        <v>12</v>
      </c>
      <c r="F24" s="528">
        <v>14</v>
      </c>
      <c r="G24" s="528">
        <v>14</v>
      </c>
      <c r="H24" s="528">
        <v>30</v>
      </c>
      <c r="I24" s="528">
        <v>29</v>
      </c>
      <c r="J24" s="528">
        <v>38</v>
      </c>
      <c r="K24" s="518">
        <v>20</v>
      </c>
      <c r="L24" s="516">
        <f t="shared" si="6"/>
        <v>147</v>
      </c>
      <c r="M24" s="528">
        <v>32</v>
      </c>
      <c r="N24" s="528">
        <v>26</v>
      </c>
      <c r="O24" s="528">
        <v>17</v>
      </c>
      <c r="P24" s="528">
        <v>26</v>
      </c>
      <c r="Q24" s="528">
        <v>17</v>
      </c>
      <c r="R24" s="528">
        <v>17</v>
      </c>
      <c r="S24" s="519">
        <v>12</v>
      </c>
      <c r="T24" s="520">
        <v>66</v>
      </c>
      <c r="U24" s="521">
        <v>65.4</v>
      </c>
      <c r="V24" s="522">
        <v>66.7</v>
      </c>
    </row>
    <row r="25" spans="1:22" ht="16.5" customHeight="1">
      <c r="A25" s="510" t="s">
        <v>228</v>
      </c>
      <c r="B25" s="497" t="s">
        <v>220</v>
      </c>
      <c r="C25" s="498">
        <f t="shared" si="2"/>
        <v>1353</v>
      </c>
      <c r="D25" s="498">
        <f t="shared" si="4"/>
        <v>764</v>
      </c>
      <c r="E25" s="527">
        <v>184</v>
      </c>
      <c r="F25" s="527">
        <v>78</v>
      </c>
      <c r="G25" s="527">
        <v>135</v>
      </c>
      <c r="H25" s="527">
        <v>108</v>
      </c>
      <c r="I25" s="527">
        <v>94</v>
      </c>
      <c r="J25" s="527">
        <v>77</v>
      </c>
      <c r="K25" s="523">
        <v>88</v>
      </c>
      <c r="L25" s="498">
        <f t="shared" si="6"/>
        <v>589</v>
      </c>
      <c r="M25" s="527">
        <v>249</v>
      </c>
      <c r="N25" s="527">
        <v>88</v>
      </c>
      <c r="O25" s="527">
        <v>76</v>
      </c>
      <c r="P25" s="527">
        <v>51</v>
      </c>
      <c r="Q25" s="527">
        <v>41</v>
      </c>
      <c r="R25" s="527">
        <v>46</v>
      </c>
      <c r="S25" s="512">
        <v>38</v>
      </c>
      <c r="T25" s="513">
        <v>56.6</v>
      </c>
      <c r="U25" s="514">
        <v>55.3</v>
      </c>
      <c r="V25" s="515">
        <v>58.3</v>
      </c>
    </row>
    <row r="26" spans="1:22" ht="16.5" customHeight="1">
      <c r="A26" s="510"/>
      <c r="B26" s="503" t="s">
        <v>221</v>
      </c>
      <c r="C26" s="504">
        <f t="shared" si="2"/>
        <v>728</v>
      </c>
      <c r="D26" s="516">
        <f t="shared" si="4"/>
        <v>394</v>
      </c>
      <c r="E26" s="530">
        <v>35</v>
      </c>
      <c r="F26" s="530">
        <v>25</v>
      </c>
      <c r="G26" s="530">
        <v>51</v>
      </c>
      <c r="H26" s="530">
        <v>55</v>
      </c>
      <c r="I26" s="530">
        <v>70</v>
      </c>
      <c r="J26" s="530">
        <v>72</v>
      </c>
      <c r="K26" s="518">
        <v>86</v>
      </c>
      <c r="L26" s="516">
        <f t="shared" si="6"/>
        <v>334</v>
      </c>
      <c r="M26" s="530">
        <v>80</v>
      </c>
      <c r="N26" s="530">
        <v>47</v>
      </c>
      <c r="O26" s="530">
        <v>44</v>
      </c>
      <c r="P26" s="530">
        <v>43</v>
      </c>
      <c r="Q26" s="530">
        <v>38</v>
      </c>
      <c r="R26" s="530">
        <v>44</v>
      </c>
      <c r="S26" s="519">
        <v>38</v>
      </c>
      <c r="T26" s="520">
        <v>64.8</v>
      </c>
      <c r="U26" s="521">
        <v>63.3</v>
      </c>
      <c r="V26" s="522">
        <v>66.4</v>
      </c>
    </row>
    <row r="27" spans="1:22" ht="16.5" customHeight="1">
      <c r="A27" s="510" t="s">
        <v>96</v>
      </c>
      <c r="B27" s="497" t="s">
        <v>220</v>
      </c>
      <c r="C27" s="498">
        <f t="shared" si="2"/>
        <v>772</v>
      </c>
      <c r="D27" s="498">
        <f t="shared" si="4"/>
        <v>415</v>
      </c>
      <c r="E27" s="527">
        <v>89</v>
      </c>
      <c r="F27" s="527">
        <v>52</v>
      </c>
      <c r="G27" s="527">
        <v>50</v>
      </c>
      <c r="H27" s="527">
        <v>32</v>
      </c>
      <c r="I27" s="527">
        <v>47</v>
      </c>
      <c r="J27" s="527">
        <v>46</v>
      </c>
      <c r="K27" s="523">
        <v>99</v>
      </c>
      <c r="L27" s="498">
        <f t="shared" si="6"/>
        <v>357</v>
      </c>
      <c r="M27" s="527">
        <v>117</v>
      </c>
      <c r="N27" s="527">
        <v>43</v>
      </c>
      <c r="O27" s="527">
        <v>43</v>
      </c>
      <c r="P27" s="527">
        <v>27</v>
      </c>
      <c r="Q27" s="527">
        <v>39</v>
      </c>
      <c r="R27" s="527">
        <v>36</v>
      </c>
      <c r="S27" s="512">
        <v>52</v>
      </c>
      <c r="T27" s="513">
        <v>56.7</v>
      </c>
      <c r="U27" s="514">
        <v>54.9</v>
      </c>
      <c r="V27" s="515">
        <v>58.8</v>
      </c>
    </row>
    <row r="28" spans="1:22" ht="16.5" customHeight="1">
      <c r="A28" s="510"/>
      <c r="B28" s="503" t="s">
        <v>221</v>
      </c>
      <c r="C28" s="504">
        <f t="shared" si="2"/>
        <v>489</v>
      </c>
      <c r="D28" s="516">
        <f t="shared" si="4"/>
        <v>243</v>
      </c>
      <c r="E28" s="530">
        <v>16</v>
      </c>
      <c r="F28" s="530">
        <v>13</v>
      </c>
      <c r="G28" s="530">
        <v>19</v>
      </c>
      <c r="H28" s="530">
        <v>15</v>
      </c>
      <c r="I28" s="530">
        <v>35</v>
      </c>
      <c r="J28" s="530">
        <v>46</v>
      </c>
      <c r="K28" s="518">
        <v>99</v>
      </c>
      <c r="L28" s="516">
        <f t="shared" si="6"/>
        <v>246</v>
      </c>
      <c r="M28" s="530">
        <v>50</v>
      </c>
      <c r="N28" s="530">
        <v>23</v>
      </c>
      <c r="O28" s="530">
        <v>27</v>
      </c>
      <c r="P28" s="530">
        <v>23</v>
      </c>
      <c r="Q28" s="530">
        <v>36</v>
      </c>
      <c r="R28" s="530">
        <v>36</v>
      </c>
      <c r="S28" s="519">
        <v>51</v>
      </c>
      <c r="T28" s="520">
        <v>63.1</v>
      </c>
      <c r="U28" s="521">
        <v>61.7</v>
      </c>
      <c r="V28" s="522">
        <v>64.4</v>
      </c>
    </row>
    <row r="29" spans="1:22" ht="16.5" customHeight="1">
      <c r="A29" s="510" t="s">
        <v>97</v>
      </c>
      <c r="B29" s="497" t="s">
        <v>220</v>
      </c>
      <c r="C29" s="498">
        <f t="shared" si="2"/>
        <v>890</v>
      </c>
      <c r="D29" s="527">
        <f t="shared" si="4"/>
        <v>519</v>
      </c>
      <c r="E29" s="527">
        <v>146</v>
      </c>
      <c r="F29" s="527">
        <v>65</v>
      </c>
      <c r="G29" s="527">
        <v>85</v>
      </c>
      <c r="H29" s="527">
        <v>66</v>
      </c>
      <c r="I29" s="527">
        <v>56</v>
      </c>
      <c r="J29" s="527">
        <v>45</v>
      </c>
      <c r="K29" s="523">
        <v>56</v>
      </c>
      <c r="L29" s="527">
        <f t="shared" si="6"/>
        <v>371</v>
      </c>
      <c r="M29" s="527">
        <v>152</v>
      </c>
      <c r="N29" s="527">
        <v>56</v>
      </c>
      <c r="O29" s="527">
        <v>50</v>
      </c>
      <c r="P29" s="527">
        <v>35</v>
      </c>
      <c r="Q29" s="527">
        <v>20</v>
      </c>
      <c r="R29" s="527">
        <v>29</v>
      </c>
      <c r="S29" s="512">
        <v>29</v>
      </c>
      <c r="T29" s="513">
        <v>57</v>
      </c>
      <c r="U29" s="514">
        <v>54.4</v>
      </c>
      <c r="V29" s="515">
        <v>60.7</v>
      </c>
    </row>
    <row r="30" spans="1:22" ht="16.5" customHeight="1" thickBot="1">
      <c r="A30" s="531"/>
      <c r="B30" s="532" t="s">
        <v>221</v>
      </c>
      <c r="C30" s="533">
        <f t="shared" si="2"/>
        <v>489</v>
      </c>
      <c r="D30" s="534">
        <f t="shared" si="4"/>
        <v>261</v>
      </c>
      <c r="E30" s="534">
        <v>30</v>
      </c>
      <c r="F30" s="534">
        <v>12</v>
      </c>
      <c r="G30" s="534">
        <v>31</v>
      </c>
      <c r="H30" s="534">
        <v>48</v>
      </c>
      <c r="I30" s="534">
        <v>43</v>
      </c>
      <c r="J30" s="534">
        <v>41</v>
      </c>
      <c r="K30" s="535">
        <v>56</v>
      </c>
      <c r="L30" s="534">
        <f t="shared" si="6"/>
        <v>228</v>
      </c>
      <c r="M30" s="534">
        <v>54</v>
      </c>
      <c r="N30" s="534">
        <v>31</v>
      </c>
      <c r="O30" s="534">
        <v>34</v>
      </c>
      <c r="P30" s="534">
        <v>34</v>
      </c>
      <c r="Q30" s="534">
        <v>19</v>
      </c>
      <c r="R30" s="534">
        <v>28</v>
      </c>
      <c r="S30" s="536">
        <v>28</v>
      </c>
      <c r="T30" s="537">
        <v>65.3</v>
      </c>
      <c r="U30" s="538">
        <v>62.8</v>
      </c>
      <c r="V30" s="539">
        <v>68</v>
      </c>
    </row>
    <row r="31" spans="1:13" ht="13.5">
      <c r="A31" s="478"/>
      <c r="D31" s="328"/>
      <c r="E31" s="328"/>
      <c r="M31" s="328"/>
    </row>
    <row r="32" spans="1:13" ht="17.25" customHeight="1">
      <c r="A32" s="231" t="s">
        <v>229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540"/>
      <c r="L32" s="541"/>
      <c r="M32" s="60" t="s">
        <v>230</v>
      </c>
    </row>
    <row r="33" spans="10:22" ht="6" customHeight="1" thickBot="1">
      <c r="J33" s="542"/>
      <c r="K33" s="542"/>
      <c r="M33" s="543"/>
      <c r="O33" s="543"/>
      <c r="P33" s="543"/>
      <c r="U33" s="543"/>
      <c r="V33" s="477"/>
    </row>
    <row r="34" spans="1:16" ht="16.5" customHeight="1">
      <c r="A34" s="544" t="s">
        <v>34</v>
      </c>
      <c r="B34" s="545" t="s">
        <v>231</v>
      </c>
      <c r="C34" s="546"/>
      <c r="D34" s="546"/>
      <c r="E34" s="546"/>
      <c r="F34" s="546"/>
      <c r="G34" s="546"/>
      <c r="H34" s="546"/>
      <c r="I34" s="546"/>
      <c r="J34" s="547"/>
      <c r="K34" s="548" t="s">
        <v>232</v>
      </c>
      <c r="M34" s="549" t="s">
        <v>34</v>
      </c>
      <c r="N34" s="550"/>
      <c r="O34" s="551" t="s">
        <v>233</v>
      </c>
      <c r="P34" s="552"/>
    </row>
    <row r="35" spans="1:16" ht="24.75" customHeight="1">
      <c r="A35" s="553"/>
      <c r="B35" s="554" t="s">
        <v>19</v>
      </c>
      <c r="C35" s="554" t="s">
        <v>145</v>
      </c>
      <c r="D35" s="554" t="s">
        <v>146</v>
      </c>
      <c r="E35" s="554" t="s">
        <v>147</v>
      </c>
      <c r="F35" s="554" t="s">
        <v>148</v>
      </c>
      <c r="G35" s="554" t="s">
        <v>149</v>
      </c>
      <c r="H35" s="554" t="s">
        <v>150</v>
      </c>
      <c r="I35" s="554" t="s">
        <v>151</v>
      </c>
      <c r="J35" s="554" t="s">
        <v>234</v>
      </c>
      <c r="K35" s="555"/>
      <c r="M35" s="556"/>
      <c r="N35" s="557"/>
      <c r="O35" s="558"/>
      <c r="P35" s="559"/>
    </row>
    <row r="36" spans="1:16" ht="18" customHeight="1">
      <c r="A36" s="560" t="s">
        <v>235</v>
      </c>
      <c r="B36" s="561">
        <f>SUM(B37:B48)</f>
        <v>946</v>
      </c>
      <c r="C36" s="561">
        <f aca="true" t="shared" si="7" ref="C36:J36">SUM(C37:C48)</f>
        <v>47</v>
      </c>
      <c r="D36" s="561">
        <f t="shared" si="7"/>
        <v>63</v>
      </c>
      <c r="E36" s="561">
        <f t="shared" si="7"/>
        <v>132</v>
      </c>
      <c r="F36" s="561">
        <f t="shared" si="7"/>
        <v>172</v>
      </c>
      <c r="G36" s="561">
        <f t="shared" si="7"/>
        <v>160</v>
      </c>
      <c r="H36" s="561">
        <f t="shared" si="7"/>
        <v>131</v>
      </c>
      <c r="I36" s="561">
        <f t="shared" si="7"/>
        <v>94</v>
      </c>
      <c r="J36" s="562">
        <f t="shared" si="7"/>
        <v>147</v>
      </c>
      <c r="K36" s="563">
        <v>37.3</v>
      </c>
      <c r="M36" s="564" t="s">
        <v>235</v>
      </c>
      <c r="N36" s="565"/>
      <c r="O36" s="566">
        <f>SUM(O37:O48)</f>
        <v>332</v>
      </c>
      <c r="P36" s="567"/>
    </row>
    <row r="37" spans="1:16" ht="18" customHeight="1">
      <c r="A37" s="560" t="s">
        <v>86</v>
      </c>
      <c r="B37" s="561">
        <f>SUM(C37:J37)</f>
        <v>56</v>
      </c>
      <c r="C37" s="561">
        <v>1</v>
      </c>
      <c r="D37" s="561">
        <v>4</v>
      </c>
      <c r="E37" s="561">
        <v>8</v>
      </c>
      <c r="F37" s="561">
        <v>17</v>
      </c>
      <c r="G37" s="561">
        <v>9</v>
      </c>
      <c r="H37" s="561">
        <v>8</v>
      </c>
      <c r="I37" s="561">
        <v>2</v>
      </c>
      <c r="J37" s="562">
        <v>7</v>
      </c>
      <c r="K37" s="563">
        <v>35.6</v>
      </c>
      <c r="M37" s="564" t="s">
        <v>86</v>
      </c>
      <c r="N37" s="565"/>
      <c r="O37" s="566">
        <v>22</v>
      </c>
      <c r="P37" s="567"/>
    </row>
    <row r="38" spans="1:16" ht="18" customHeight="1">
      <c r="A38" s="560" t="s">
        <v>69</v>
      </c>
      <c r="B38" s="561">
        <f>SUM(C38:J38)</f>
        <v>63</v>
      </c>
      <c r="C38" s="561">
        <v>3</v>
      </c>
      <c r="D38" s="561">
        <v>3</v>
      </c>
      <c r="E38" s="561">
        <v>8</v>
      </c>
      <c r="F38" s="561">
        <v>9</v>
      </c>
      <c r="G38" s="561">
        <v>14</v>
      </c>
      <c r="H38" s="561">
        <v>10</v>
      </c>
      <c r="I38" s="561">
        <v>6</v>
      </c>
      <c r="J38" s="562">
        <v>10</v>
      </c>
      <c r="K38" s="563">
        <v>38.2</v>
      </c>
      <c r="M38" s="564" t="s">
        <v>69</v>
      </c>
      <c r="N38" s="565"/>
      <c r="O38" s="566">
        <v>22</v>
      </c>
      <c r="P38" s="567"/>
    </row>
    <row r="39" spans="1:16" ht="18" customHeight="1">
      <c r="A39" s="560" t="s">
        <v>222</v>
      </c>
      <c r="B39" s="561">
        <f>SUM(C39:J39)</f>
        <v>52</v>
      </c>
      <c r="C39" s="561">
        <v>4</v>
      </c>
      <c r="D39" s="561">
        <v>2</v>
      </c>
      <c r="E39" s="561">
        <v>11</v>
      </c>
      <c r="F39" s="561">
        <v>5</v>
      </c>
      <c r="G39" s="561">
        <v>11</v>
      </c>
      <c r="H39" s="561">
        <v>8</v>
      </c>
      <c r="I39" s="561">
        <v>6</v>
      </c>
      <c r="J39" s="562">
        <v>5</v>
      </c>
      <c r="K39" s="563">
        <v>35.8</v>
      </c>
      <c r="M39" s="564" t="s">
        <v>222</v>
      </c>
      <c r="N39" s="565"/>
      <c r="O39" s="566">
        <v>12</v>
      </c>
      <c r="P39" s="567"/>
    </row>
    <row r="40" spans="1:16" ht="18" customHeight="1">
      <c r="A40" s="560" t="s">
        <v>223</v>
      </c>
      <c r="B40" s="561">
        <f>SUM(C40:J40)</f>
        <v>16</v>
      </c>
      <c r="C40" s="561">
        <v>1</v>
      </c>
      <c r="D40" s="561">
        <v>1</v>
      </c>
      <c r="E40" s="561">
        <v>1</v>
      </c>
      <c r="F40" s="561">
        <v>4</v>
      </c>
      <c r="G40" s="561">
        <v>0</v>
      </c>
      <c r="H40" s="561">
        <v>4</v>
      </c>
      <c r="I40" s="561">
        <v>3</v>
      </c>
      <c r="J40" s="562">
        <v>2</v>
      </c>
      <c r="K40" s="563">
        <v>38.8</v>
      </c>
      <c r="M40" s="564" t="s">
        <v>223</v>
      </c>
      <c r="N40" s="565"/>
      <c r="O40" s="566">
        <v>5</v>
      </c>
      <c r="P40" s="567"/>
    </row>
    <row r="41" spans="1:16" ht="18" customHeight="1">
      <c r="A41" s="560" t="s">
        <v>224</v>
      </c>
      <c r="B41" s="561">
        <f aca="true" t="shared" si="8" ref="B41:B48">SUM(C41:J41)</f>
        <v>7</v>
      </c>
      <c r="C41" s="562" t="s">
        <v>237</v>
      </c>
      <c r="D41" s="562" t="s">
        <v>237</v>
      </c>
      <c r="E41" s="561">
        <v>2</v>
      </c>
      <c r="F41" s="561">
        <v>0</v>
      </c>
      <c r="G41" s="561">
        <v>0</v>
      </c>
      <c r="H41" s="561">
        <v>0</v>
      </c>
      <c r="I41" s="561">
        <v>2</v>
      </c>
      <c r="J41" s="562">
        <v>3</v>
      </c>
      <c r="K41" s="563">
        <v>44.6</v>
      </c>
      <c r="M41" s="564" t="s">
        <v>224</v>
      </c>
      <c r="N41" s="565"/>
      <c r="O41" s="566">
        <v>8</v>
      </c>
      <c r="P41" s="567"/>
    </row>
    <row r="42" spans="1:16" ht="18" customHeight="1">
      <c r="A42" s="560" t="s">
        <v>225</v>
      </c>
      <c r="B42" s="561">
        <f t="shared" si="8"/>
        <v>181</v>
      </c>
      <c r="C42" s="561">
        <v>8</v>
      </c>
      <c r="D42" s="561">
        <v>13</v>
      </c>
      <c r="E42" s="561">
        <v>27</v>
      </c>
      <c r="F42" s="561">
        <v>33</v>
      </c>
      <c r="G42" s="561">
        <v>28</v>
      </c>
      <c r="H42" s="561">
        <v>28</v>
      </c>
      <c r="I42" s="561">
        <v>20</v>
      </c>
      <c r="J42" s="562">
        <v>24</v>
      </c>
      <c r="K42" s="563">
        <v>37.1</v>
      </c>
      <c r="M42" s="564" t="s">
        <v>225</v>
      </c>
      <c r="N42" s="565"/>
      <c r="O42" s="566">
        <v>64</v>
      </c>
      <c r="P42" s="567"/>
    </row>
    <row r="43" spans="1:16" ht="18" customHeight="1">
      <c r="A43" s="560" t="s">
        <v>226</v>
      </c>
      <c r="B43" s="561">
        <f t="shared" si="8"/>
        <v>89</v>
      </c>
      <c r="C43" s="561">
        <v>4</v>
      </c>
      <c r="D43" s="561">
        <v>4</v>
      </c>
      <c r="E43" s="561">
        <v>10</v>
      </c>
      <c r="F43" s="561">
        <v>19</v>
      </c>
      <c r="G43" s="561">
        <v>24</v>
      </c>
      <c r="H43" s="561">
        <v>11</v>
      </c>
      <c r="I43" s="561">
        <v>4</v>
      </c>
      <c r="J43" s="562">
        <v>13</v>
      </c>
      <c r="K43" s="563">
        <v>37</v>
      </c>
      <c r="M43" s="564" t="s">
        <v>226</v>
      </c>
      <c r="N43" s="565"/>
      <c r="O43" s="566">
        <v>33</v>
      </c>
      <c r="P43" s="567"/>
    </row>
    <row r="44" spans="1:16" ht="18" customHeight="1">
      <c r="A44" s="560" t="s">
        <v>227</v>
      </c>
      <c r="B44" s="561">
        <f t="shared" si="8"/>
        <v>11</v>
      </c>
      <c r="C44" s="561">
        <v>0</v>
      </c>
      <c r="D44" s="561">
        <v>1</v>
      </c>
      <c r="E44" s="561">
        <v>0</v>
      </c>
      <c r="F44" s="561">
        <v>2</v>
      </c>
      <c r="G44" s="561">
        <v>0</v>
      </c>
      <c r="H44" s="561">
        <v>2</v>
      </c>
      <c r="I44" s="561">
        <v>2</v>
      </c>
      <c r="J44" s="562">
        <v>4</v>
      </c>
      <c r="K44" s="563">
        <v>44</v>
      </c>
      <c r="M44" s="564" t="s">
        <v>227</v>
      </c>
      <c r="N44" s="565"/>
      <c r="O44" s="566">
        <v>10</v>
      </c>
      <c r="P44" s="567"/>
    </row>
    <row r="45" spans="1:16" ht="18" customHeight="1">
      <c r="A45" s="560" t="s">
        <v>94</v>
      </c>
      <c r="B45" s="561">
        <f t="shared" si="8"/>
        <v>79</v>
      </c>
      <c r="C45" s="561">
        <v>1</v>
      </c>
      <c r="D45" s="561">
        <v>6</v>
      </c>
      <c r="E45" s="561">
        <v>10</v>
      </c>
      <c r="F45" s="561">
        <v>11</v>
      </c>
      <c r="G45" s="561">
        <v>12</v>
      </c>
      <c r="H45" s="561">
        <v>14</v>
      </c>
      <c r="I45" s="561">
        <v>9</v>
      </c>
      <c r="J45" s="562">
        <v>16</v>
      </c>
      <c r="K45" s="563">
        <v>39.6</v>
      </c>
      <c r="M45" s="564" t="s">
        <v>94</v>
      </c>
      <c r="N45" s="565"/>
      <c r="O45" s="566">
        <v>28</v>
      </c>
      <c r="P45" s="567"/>
    </row>
    <row r="46" spans="1:16" ht="18" customHeight="1">
      <c r="A46" s="560" t="s">
        <v>228</v>
      </c>
      <c r="B46" s="561">
        <f t="shared" si="8"/>
        <v>176</v>
      </c>
      <c r="C46" s="561">
        <v>13</v>
      </c>
      <c r="D46" s="561">
        <v>15</v>
      </c>
      <c r="E46" s="561">
        <v>24</v>
      </c>
      <c r="F46" s="561">
        <v>30</v>
      </c>
      <c r="G46" s="561">
        <v>27</v>
      </c>
      <c r="H46" s="561">
        <v>20</v>
      </c>
      <c r="I46" s="561">
        <v>21</v>
      </c>
      <c r="J46" s="562">
        <v>26</v>
      </c>
      <c r="K46" s="563">
        <v>35.9</v>
      </c>
      <c r="M46" s="564" t="s">
        <v>228</v>
      </c>
      <c r="N46" s="565"/>
      <c r="O46" s="566">
        <v>51</v>
      </c>
      <c r="P46" s="567"/>
    </row>
    <row r="47" spans="1:16" ht="18" customHeight="1">
      <c r="A47" s="560" t="s">
        <v>96</v>
      </c>
      <c r="B47" s="561">
        <f t="shared" si="8"/>
        <v>86</v>
      </c>
      <c r="C47" s="561">
        <v>8</v>
      </c>
      <c r="D47" s="561">
        <v>7</v>
      </c>
      <c r="E47" s="561">
        <v>9</v>
      </c>
      <c r="F47" s="561">
        <v>17</v>
      </c>
      <c r="G47" s="561">
        <v>18</v>
      </c>
      <c r="H47" s="561">
        <v>8</v>
      </c>
      <c r="I47" s="561">
        <v>8</v>
      </c>
      <c r="J47" s="562">
        <v>11</v>
      </c>
      <c r="K47" s="563">
        <v>35.5</v>
      </c>
      <c r="M47" s="564" t="s">
        <v>96</v>
      </c>
      <c r="N47" s="565"/>
      <c r="O47" s="566">
        <v>35</v>
      </c>
      <c r="P47" s="567"/>
    </row>
    <row r="48" spans="1:16" ht="18" customHeight="1" thickBot="1">
      <c r="A48" s="568" t="s">
        <v>97</v>
      </c>
      <c r="B48" s="569">
        <f t="shared" si="8"/>
        <v>130</v>
      </c>
      <c r="C48" s="569">
        <v>4</v>
      </c>
      <c r="D48" s="569">
        <v>7</v>
      </c>
      <c r="E48" s="569">
        <v>22</v>
      </c>
      <c r="F48" s="569">
        <v>25</v>
      </c>
      <c r="G48" s="569">
        <v>17</v>
      </c>
      <c r="H48" s="569">
        <v>18</v>
      </c>
      <c r="I48" s="569">
        <v>11</v>
      </c>
      <c r="J48" s="570">
        <v>26</v>
      </c>
      <c r="K48" s="571">
        <v>37.6</v>
      </c>
      <c r="M48" s="572" t="s">
        <v>97</v>
      </c>
      <c r="N48" s="573"/>
      <c r="O48" s="98">
        <v>42</v>
      </c>
      <c r="P48" s="574"/>
    </row>
    <row r="49" spans="1:16" ht="13.5">
      <c r="A49" s="328"/>
      <c r="B49" s="328"/>
      <c r="C49" s="328"/>
      <c r="D49" s="328"/>
      <c r="E49" s="328"/>
      <c r="F49" s="328"/>
      <c r="L49" s="328"/>
      <c r="M49" s="328"/>
      <c r="N49" s="328"/>
      <c r="O49" s="328"/>
      <c r="P49" s="328"/>
    </row>
    <row r="50" spans="1:16" ht="13.5">
      <c r="A50" s="328"/>
      <c r="B50" s="328"/>
      <c r="C50" s="328"/>
      <c r="D50" s="328"/>
      <c r="E50" s="328"/>
      <c r="F50" s="328"/>
      <c r="L50" s="328"/>
      <c r="M50" s="328"/>
      <c r="N50" s="328"/>
      <c r="O50" s="328"/>
      <c r="P50" s="328"/>
    </row>
  </sheetData>
  <sheetProtection/>
  <mergeCells count="49">
    <mergeCell ref="M46:N46"/>
    <mergeCell ref="O46:P46"/>
    <mergeCell ref="M47:N47"/>
    <mergeCell ref="O47:P47"/>
    <mergeCell ref="M48:N48"/>
    <mergeCell ref="O48:P48"/>
    <mergeCell ref="M43:N43"/>
    <mergeCell ref="O43:P43"/>
    <mergeCell ref="M44:N44"/>
    <mergeCell ref="O44:P44"/>
    <mergeCell ref="M45:N45"/>
    <mergeCell ref="O45:P45"/>
    <mergeCell ref="M40:N40"/>
    <mergeCell ref="O40:P40"/>
    <mergeCell ref="M41:N41"/>
    <mergeCell ref="O41:P41"/>
    <mergeCell ref="M42:N42"/>
    <mergeCell ref="O42:P42"/>
    <mergeCell ref="M37:N37"/>
    <mergeCell ref="O37:P37"/>
    <mergeCell ref="M38:N38"/>
    <mergeCell ref="O38:P38"/>
    <mergeCell ref="M39:N39"/>
    <mergeCell ref="O39:P39"/>
    <mergeCell ref="A34:A35"/>
    <mergeCell ref="B34:J34"/>
    <mergeCell ref="K34:K35"/>
    <mergeCell ref="M34:N35"/>
    <mergeCell ref="O34:P35"/>
    <mergeCell ref="M36:N36"/>
    <mergeCell ref="O36:P36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3:B4"/>
    <mergeCell ref="C3:C4"/>
    <mergeCell ref="D3:K3"/>
    <mergeCell ref="L3:S3"/>
    <mergeCell ref="T3:V3"/>
    <mergeCell ref="A5:A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1"/>
  <headerFooter alignWithMargins="0">
    <oddFooter>&amp;C- &amp;P+43 -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38"/>
  <sheetViews>
    <sheetView view="pageBreakPreview" zoomScale="90" zoomScaleSheetLayoutView="90" zoomScalePageLayoutView="0" workbookViewId="0" topLeftCell="A1">
      <selection activeCell="I12" sqref="I12"/>
    </sheetView>
  </sheetViews>
  <sheetFormatPr defaultColWidth="9.00390625" defaultRowHeight="13.5"/>
  <cols>
    <col min="1" max="1" width="2.875" style="576" customWidth="1"/>
    <col min="2" max="2" width="6.625" style="576" customWidth="1"/>
    <col min="3" max="3" width="8.625" style="576" customWidth="1"/>
    <col min="4" max="4" width="7.625" style="576" customWidth="1"/>
    <col min="5" max="5" width="8.50390625" style="576" customWidth="1"/>
    <col min="6" max="6" width="7.625" style="576" customWidth="1"/>
    <col min="7" max="7" width="8.50390625" style="576" customWidth="1"/>
    <col min="8" max="8" width="7.625" style="576" customWidth="1"/>
    <col min="9" max="9" width="8.50390625" style="576" customWidth="1"/>
    <col min="10" max="12" width="7.625" style="576" customWidth="1"/>
    <col min="13" max="13" width="8.125" style="576" customWidth="1"/>
    <col min="14" max="14" width="7.75390625" style="576" customWidth="1"/>
    <col min="15" max="15" width="10.125" style="576" customWidth="1"/>
    <col min="16" max="22" width="7.625" style="576" customWidth="1"/>
    <col min="23" max="23" width="8.125" style="576" customWidth="1"/>
    <col min="24" max="25" width="7.625" style="576" customWidth="1"/>
    <col min="26" max="16384" width="9.00390625" style="578" customWidth="1"/>
  </cols>
  <sheetData>
    <row r="1" spans="1:25" ht="22.5" customHeight="1">
      <c r="A1" s="575" t="s">
        <v>238</v>
      </c>
      <c r="Y1" s="577"/>
    </row>
    <row r="2" ht="3.75" customHeight="1"/>
    <row r="3" spans="1:24" ht="13.5">
      <c r="A3" s="576" t="s">
        <v>239</v>
      </c>
      <c r="X3" s="60"/>
    </row>
    <row r="4" ht="7.5" customHeight="1" thickBot="1"/>
    <row r="5" spans="1:25" ht="20.25" customHeight="1" thickBot="1">
      <c r="A5" s="579" t="s">
        <v>34</v>
      </c>
      <c r="B5" s="580"/>
      <c r="C5" s="581" t="s">
        <v>240</v>
      </c>
      <c r="D5" s="582" t="s">
        <v>241</v>
      </c>
      <c r="E5" s="583"/>
      <c r="F5" s="583"/>
      <c r="G5" s="583"/>
      <c r="H5" s="583"/>
      <c r="I5" s="583"/>
      <c r="J5" s="583"/>
      <c r="K5" s="583"/>
      <c r="L5" s="583"/>
      <c r="M5" s="584"/>
      <c r="N5" s="582" t="s">
        <v>242</v>
      </c>
      <c r="O5" s="583"/>
      <c r="P5" s="583"/>
      <c r="Q5" s="583"/>
      <c r="R5" s="583"/>
      <c r="S5" s="583"/>
      <c r="T5" s="583"/>
      <c r="U5" s="583"/>
      <c r="V5" s="583"/>
      <c r="W5" s="584"/>
      <c r="X5" s="580" t="s">
        <v>243</v>
      </c>
      <c r="Y5" s="585"/>
    </row>
    <row r="6" spans="1:32" ht="33" customHeight="1">
      <c r="A6" s="586"/>
      <c r="B6" s="587"/>
      <c r="C6" s="588"/>
      <c r="D6" s="589" t="s">
        <v>244</v>
      </c>
      <c r="E6" s="590" t="s">
        <v>245</v>
      </c>
      <c r="F6" s="591" t="s">
        <v>246</v>
      </c>
      <c r="G6" s="592"/>
      <c r="H6" s="592"/>
      <c r="I6" s="593"/>
      <c r="J6" s="594" t="s">
        <v>247</v>
      </c>
      <c r="K6" s="595"/>
      <c r="L6" s="594" t="s">
        <v>248</v>
      </c>
      <c r="M6" s="596"/>
      <c r="N6" s="589" t="s">
        <v>249</v>
      </c>
      <c r="O6" s="590" t="s">
        <v>250</v>
      </c>
      <c r="P6" s="597" t="s">
        <v>251</v>
      </c>
      <c r="Q6" s="598"/>
      <c r="R6" s="597" t="s">
        <v>252</v>
      </c>
      <c r="S6" s="598"/>
      <c r="T6" s="590" t="s">
        <v>253</v>
      </c>
      <c r="U6" s="590"/>
      <c r="V6" s="599" t="s">
        <v>254</v>
      </c>
      <c r="W6" s="600"/>
      <c r="X6" s="601" t="s">
        <v>255</v>
      </c>
      <c r="Y6" s="602" t="s">
        <v>256</v>
      </c>
      <c r="Z6" s="603"/>
      <c r="AA6" s="603"/>
      <c r="AB6" s="603"/>
      <c r="AC6" s="603"/>
      <c r="AD6" s="603"/>
      <c r="AE6" s="603"/>
      <c r="AF6" s="603"/>
    </row>
    <row r="7" spans="1:32" ht="13.5" customHeight="1">
      <c r="A7" s="586"/>
      <c r="B7" s="587"/>
      <c r="C7" s="588"/>
      <c r="D7" s="604"/>
      <c r="E7" s="605"/>
      <c r="F7" s="606" t="s">
        <v>257</v>
      </c>
      <c r="G7" s="607"/>
      <c r="H7" s="606" t="s">
        <v>258</v>
      </c>
      <c r="I7" s="607"/>
      <c r="J7" s="608"/>
      <c r="K7" s="609"/>
      <c r="L7" s="608"/>
      <c r="M7" s="610"/>
      <c r="N7" s="604"/>
      <c r="O7" s="605"/>
      <c r="P7" s="611" t="s">
        <v>259</v>
      </c>
      <c r="Q7" s="611" t="s">
        <v>256</v>
      </c>
      <c r="R7" s="612" t="s">
        <v>260</v>
      </c>
      <c r="S7" s="613" t="s">
        <v>256</v>
      </c>
      <c r="T7" s="611" t="s">
        <v>259</v>
      </c>
      <c r="U7" s="611" t="s">
        <v>256</v>
      </c>
      <c r="V7" s="611" t="s">
        <v>259</v>
      </c>
      <c r="W7" s="614" t="s">
        <v>256</v>
      </c>
      <c r="X7" s="615"/>
      <c r="Y7" s="616"/>
      <c r="Z7" s="603"/>
      <c r="AA7" s="603"/>
      <c r="AB7" s="603"/>
      <c r="AC7" s="603"/>
      <c r="AD7" s="603"/>
      <c r="AE7" s="603"/>
      <c r="AF7" s="603"/>
    </row>
    <row r="8" spans="1:32" ht="19.5" customHeight="1">
      <c r="A8" s="617"/>
      <c r="B8" s="618"/>
      <c r="C8" s="619"/>
      <c r="D8" s="620"/>
      <c r="E8" s="605"/>
      <c r="F8" s="621" t="s">
        <v>259</v>
      </c>
      <c r="G8" s="621" t="s">
        <v>256</v>
      </c>
      <c r="H8" s="621" t="s">
        <v>259</v>
      </c>
      <c r="I8" s="621" t="s">
        <v>256</v>
      </c>
      <c r="J8" s="621" t="s">
        <v>259</v>
      </c>
      <c r="K8" s="621" t="s">
        <v>256</v>
      </c>
      <c r="L8" s="621" t="s">
        <v>259</v>
      </c>
      <c r="M8" s="622" t="s">
        <v>256</v>
      </c>
      <c r="N8" s="620"/>
      <c r="O8" s="605"/>
      <c r="P8" s="611"/>
      <c r="Q8" s="611"/>
      <c r="R8" s="608"/>
      <c r="S8" s="623"/>
      <c r="T8" s="611"/>
      <c r="U8" s="611"/>
      <c r="V8" s="611"/>
      <c r="W8" s="614"/>
      <c r="X8" s="624"/>
      <c r="Y8" s="616"/>
      <c r="Z8" s="603"/>
      <c r="AA8" s="603"/>
      <c r="AB8" s="603"/>
      <c r="AC8" s="603"/>
      <c r="AD8" s="603"/>
      <c r="AE8" s="603"/>
      <c r="AF8" s="603"/>
    </row>
    <row r="9" spans="1:32" ht="15.75" customHeight="1" thickBot="1">
      <c r="A9" s="625" t="s">
        <v>261</v>
      </c>
      <c r="B9" s="626"/>
      <c r="C9" s="627" t="s">
        <v>262</v>
      </c>
      <c r="D9" s="628" t="s">
        <v>263</v>
      </c>
      <c r="E9" s="629" t="s">
        <v>262</v>
      </c>
      <c r="F9" s="630" t="s">
        <v>263</v>
      </c>
      <c r="G9" s="629" t="s">
        <v>262</v>
      </c>
      <c r="H9" s="630" t="s">
        <v>263</v>
      </c>
      <c r="I9" s="629" t="s">
        <v>262</v>
      </c>
      <c r="J9" s="630" t="s">
        <v>263</v>
      </c>
      <c r="K9" s="629" t="s">
        <v>262</v>
      </c>
      <c r="L9" s="630" t="s">
        <v>263</v>
      </c>
      <c r="M9" s="627" t="s">
        <v>262</v>
      </c>
      <c r="N9" s="628" t="s">
        <v>263</v>
      </c>
      <c r="O9" s="629" t="s">
        <v>262</v>
      </c>
      <c r="P9" s="630" t="s">
        <v>263</v>
      </c>
      <c r="Q9" s="629" t="s">
        <v>262</v>
      </c>
      <c r="R9" s="630" t="s">
        <v>263</v>
      </c>
      <c r="S9" s="629" t="s">
        <v>262</v>
      </c>
      <c r="T9" s="630" t="s">
        <v>263</v>
      </c>
      <c r="U9" s="629" t="s">
        <v>262</v>
      </c>
      <c r="V9" s="630" t="s">
        <v>263</v>
      </c>
      <c r="W9" s="627" t="s">
        <v>262</v>
      </c>
      <c r="X9" s="631" t="s">
        <v>263</v>
      </c>
      <c r="Y9" s="627" t="s">
        <v>262</v>
      </c>
      <c r="Z9" s="603"/>
      <c r="AA9" s="603"/>
      <c r="AB9" s="603"/>
      <c r="AC9" s="603"/>
      <c r="AD9" s="603"/>
      <c r="AE9" s="603"/>
      <c r="AF9" s="603"/>
    </row>
    <row r="10" spans="1:25" s="576" customFormat="1" ht="25.5" customHeight="1">
      <c r="A10" s="632" t="s">
        <v>159</v>
      </c>
      <c r="B10" s="633" t="s">
        <v>38</v>
      </c>
      <c r="C10" s="634">
        <f>C12+C14+C16+C18+C20+C22+C24+C26+C28+C30+C32+C34</f>
        <v>837812</v>
      </c>
      <c r="D10" s="635">
        <f>D12+D14+D16+D18+D20+D22+D24+D26+D28+D30+D32+D34</f>
        <v>3129</v>
      </c>
      <c r="E10" s="636">
        <f aca="true" t="shared" si="0" ref="E10:P11">E12+E14+E16+E18+E20+E22+E24+E26+E28+E30+E32+E34</f>
        <v>773756</v>
      </c>
      <c r="F10" s="636">
        <f t="shared" si="0"/>
        <v>3093</v>
      </c>
      <c r="G10" s="637">
        <f t="shared" si="0"/>
        <v>663742</v>
      </c>
      <c r="H10" s="638"/>
      <c r="I10" s="639"/>
      <c r="J10" s="636">
        <f t="shared" si="0"/>
        <v>1134</v>
      </c>
      <c r="K10" s="636">
        <f t="shared" si="0"/>
        <v>47386</v>
      </c>
      <c r="L10" s="636">
        <f t="shared" si="0"/>
        <v>1534</v>
      </c>
      <c r="M10" s="640">
        <f t="shared" si="0"/>
        <v>62628</v>
      </c>
      <c r="N10" s="641">
        <f t="shared" si="0"/>
        <v>2307</v>
      </c>
      <c r="O10" s="636">
        <f t="shared" si="0"/>
        <v>60695</v>
      </c>
      <c r="P10" s="636">
        <f t="shared" si="0"/>
        <v>2155</v>
      </c>
      <c r="Q10" s="636">
        <f>Q12+Q14+Q16+Q18+Q20+Q22+Q24+Q26+Q28+Q30+Q32+Q34</f>
        <v>35041</v>
      </c>
      <c r="R10" s="636">
        <f>R12+R14+R16+R20+R26+R28+R18+R22+R24+R30+R32+R34</f>
        <v>16</v>
      </c>
      <c r="S10" s="636">
        <f>S12+S14+S16+S18+S20+S22+S24+S30+S26+S28+S32+S34</f>
        <v>3959</v>
      </c>
      <c r="T10" s="636">
        <f aca="true" t="shared" si="1" ref="T10:Y11">T12+T14+T16+T18+T20+T22+T24+T26+T28+T30+T32+T34</f>
        <v>28</v>
      </c>
      <c r="U10" s="642">
        <f t="shared" si="1"/>
        <v>9376</v>
      </c>
      <c r="V10" s="636">
        <f t="shared" si="1"/>
        <v>687</v>
      </c>
      <c r="W10" s="640">
        <f t="shared" si="1"/>
        <v>12319</v>
      </c>
      <c r="X10" s="641">
        <f t="shared" si="1"/>
        <v>119</v>
      </c>
      <c r="Y10" s="640">
        <f t="shared" si="1"/>
        <v>3411</v>
      </c>
    </row>
    <row r="11" spans="1:25" s="576" customFormat="1" ht="25.5" customHeight="1">
      <c r="A11" s="643"/>
      <c r="B11" s="644" t="s">
        <v>46</v>
      </c>
      <c r="C11" s="645">
        <f>E11+O11+Y11</f>
        <v>768124</v>
      </c>
      <c r="D11" s="646">
        <f aca="true" t="shared" si="2" ref="D11:I11">D13+D15+D17+D19+D21+D23+D25+D27+D29+D31+D33+D35</f>
        <v>2458</v>
      </c>
      <c r="E11" s="647">
        <f t="shared" si="2"/>
        <v>712915</v>
      </c>
      <c r="F11" s="647">
        <f t="shared" si="2"/>
        <v>2428</v>
      </c>
      <c r="G11" s="648">
        <f t="shared" si="2"/>
        <v>670392</v>
      </c>
      <c r="H11" s="647">
        <f t="shared" si="2"/>
        <v>18</v>
      </c>
      <c r="I11" s="648">
        <f t="shared" si="2"/>
        <v>1921</v>
      </c>
      <c r="J11" s="647">
        <f t="shared" si="0"/>
        <v>620</v>
      </c>
      <c r="K11" s="647">
        <f t="shared" si="0"/>
        <v>23088</v>
      </c>
      <c r="L11" s="647">
        <f t="shared" si="0"/>
        <v>506</v>
      </c>
      <c r="M11" s="649">
        <f t="shared" si="0"/>
        <v>17514</v>
      </c>
      <c r="N11" s="650">
        <f t="shared" si="0"/>
        <v>1661</v>
      </c>
      <c r="O11" s="647">
        <f t="shared" si="0"/>
        <v>52652</v>
      </c>
      <c r="P11" s="647">
        <f t="shared" si="0"/>
        <v>1555</v>
      </c>
      <c r="Q11" s="647">
        <f>Q13+Q15+Q17+Q19+Q21+Q23+Q25+Q27+Q29+Q31+Q33+Q35</f>
        <v>30703</v>
      </c>
      <c r="R11" s="651">
        <f>R13+R15+R17+R19+R21+R23+R25+R27+R29+R31+R33+R35</f>
        <v>13</v>
      </c>
      <c r="S11" s="651">
        <f>S13+S15+S17+S19+S21+S23+S25+S27+S29+S31+S33+S35</f>
        <v>3230</v>
      </c>
      <c r="T11" s="651">
        <f t="shared" si="1"/>
        <v>18</v>
      </c>
      <c r="U11" s="651">
        <f t="shared" si="1"/>
        <v>9883</v>
      </c>
      <c r="V11" s="647">
        <f t="shared" si="1"/>
        <v>398</v>
      </c>
      <c r="W11" s="649">
        <f t="shared" si="1"/>
        <v>8836</v>
      </c>
      <c r="X11" s="650">
        <f t="shared" si="1"/>
        <v>79</v>
      </c>
      <c r="Y11" s="645">
        <f t="shared" si="1"/>
        <v>2557</v>
      </c>
    </row>
    <row r="12" spans="1:25" s="576" customFormat="1" ht="24" customHeight="1">
      <c r="A12" s="643" t="s">
        <v>68</v>
      </c>
      <c r="B12" s="644" t="s">
        <v>38</v>
      </c>
      <c r="C12" s="645">
        <f aca="true" t="shared" si="3" ref="C12:C17">E12+O12+Y12</f>
        <v>54219</v>
      </c>
      <c r="D12" s="646">
        <v>205</v>
      </c>
      <c r="E12" s="647">
        <v>53219</v>
      </c>
      <c r="F12" s="647">
        <v>193</v>
      </c>
      <c r="G12" s="647">
        <v>44067</v>
      </c>
      <c r="H12" s="652"/>
      <c r="I12" s="652"/>
      <c r="J12" s="647">
        <v>111</v>
      </c>
      <c r="K12" s="647">
        <v>6058</v>
      </c>
      <c r="L12" s="647">
        <v>102</v>
      </c>
      <c r="M12" s="649">
        <v>3094</v>
      </c>
      <c r="N12" s="650">
        <v>83</v>
      </c>
      <c r="O12" s="647">
        <v>969</v>
      </c>
      <c r="P12" s="647">
        <v>81</v>
      </c>
      <c r="Q12" s="647">
        <v>850</v>
      </c>
      <c r="R12" s="651">
        <v>0</v>
      </c>
      <c r="S12" s="651">
        <v>0</v>
      </c>
      <c r="T12" s="651">
        <v>0</v>
      </c>
      <c r="U12" s="651">
        <v>0</v>
      </c>
      <c r="V12" s="647">
        <v>13</v>
      </c>
      <c r="W12" s="649">
        <v>119</v>
      </c>
      <c r="X12" s="650">
        <v>2</v>
      </c>
      <c r="Y12" s="649">
        <v>31</v>
      </c>
    </row>
    <row r="13" spans="1:25" s="653" customFormat="1" ht="24" customHeight="1">
      <c r="A13" s="643"/>
      <c r="B13" s="644" t="s">
        <v>46</v>
      </c>
      <c r="C13" s="645">
        <f>E13+O13+Y13</f>
        <v>47782</v>
      </c>
      <c r="D13" s="646">
        <v>151</v>
      </c>
      <c r="E13" s="647">
        <v>47049</v>
      </c>
      <c r="F13" s="647">
        <v>138</v>
      </c>
      <c r="G13" s="647">
        <v>42903</v>
      </c>
      <c r="H13" s="647">
        <v>0</v>
      </c>
      <c r="I13" s="647">
        <v>0</v>
      </c>
      <c r="J13" s="647">
        <v>66</v>
      </c>
      <c r="K13" s="647">
        <v>3390</v>
      </c>
      <c r="L13" s="647">
        <v>37</v>
      </c>
      <c r="M13" s="649">
        <v>756</v>
      </c>
      <c r="N13" s="650">
        <v>56</v>
      </c>
      <c r="O13" s="647">
        <v>730</v>
      </c>
      <c r="P13" s="647">
        <v>53</v>
      </c>
      <c r="Q13" s="647">
        <v>613</v>
      </c>
      <c r="R13" s="651">
        <v>0</v>
      </c>
      <c r="S13" s="651">
        <v>0</v>
      </c>
      <c r="T13" s="651">
        <v>0</v>
      </c>
      <c r="U13" s="651">
        <v>0</v>
      </c>
      <c r="V13" s="647">
        <v>10</v>
      </c>
      <c r="W13" s="649">
        <v>117</v>
      </c>
      <c r="X13" s="650">
        <v>1</v>
      </c>
      <c r="Y13" s="649">
        <v>3</v>
      </c>
    </row>
    <row r="14" spans="1:25" s="576" customFormat="1" ht="24" customHeight="1">
      <c r="A14" s="654" t="s">
        <v>69</v>
      </c>
      <c r="B14" s="644" t="s">
        <v>38</v>
      </c>
      <c r="C14" s="645">
        <f t="shared" si="3"/>
        <v>42090</v>
      </c>
      <c r="D14" s="646">
        <v>205</v>
      </c>
      <c r="E14" s="647">
        <v>38875</v>
      </c>
      <c r="F14" s="647">
        <v>202</v>
      </c>
      <c r="G14" s="647">
        <v>32398</v>
      </c>
      <c r="H14" s="652"/>
      <c r="I14" s="652"/>
      <c r="J14" s="647">
        <v>82</v>
      </c>
      <c r="K14" s="647">
        <v>1467</v>
      </c>
      <c r="L14" s="647">
        <v>126</v>
      </c>
      <c r="M14" s="649">
        <v>5010</v>
      </c>
      <c r="N14" s="650">
        <v>157</v>
      </c>
      <c r="O14" s="647">
        <v>2312</v>
      </c>
      <c r="P14" s="647">
        <v>146</v>
      </c>
      <c r="Q14" s="647">
        <v>1573</v>
      </c>
      <c r="R14" s="651">
        <v>0</v>
      </c>
      <c r="S14" s="651">
        <v>0</v>
      </c>
      <c r="T14" s="651">
        <v>3</v>
      </c>
      <c r="U14" s="651">
        <v>350</v>
      </c>
      <c r="V14" s="647">
        <v>45</v>
      </c>
      <c r="W14" s="649">
        <v>389</v>
      </c>
      <c r="X14" s="650">
        <v>32</v>
      </c>
      <c r="Y14" s="649">
        <v>903</v>
      </c>
    </row>
    <row r="15" spans="1:25" s="653" customFormat="1" ht="24" customHeight="1">
      <c r="A15" s="654"/>
      <c r="B15" s="644" t="s">
        <v>46</v>
      </c>
      <c r="C15" s="645">
        <f>E15+O15+Y15</f>
        <v>39362</v>
      </c>
      <c r="D15" s="646">
        <v>153</v>
      </c>
      <c r="E15" s="647">
        <v>37164</v>
      </c>
      <c r="F15" s="647">
        <v>149</v>
      </c>
      <c r="G15" s="647">
        <v>35537</v>
      </c>
      <c r="H15" s="647">
        <v>0</v>
      </c>
      <c r="I15" s="647">
        <v>0</v>
      </c>
      <c r="J15" s="647">
        <v>42</v>
      </c>
      <c r="K15" s="647">
        <v>814</v>
      </c>
      <c r="L15" s="647">
        <v>22</v>
      </c>
      <c r="M15" s="649">
        <v>813</v>
      </c>
      <c r="N15" s="650">
        <v>115</v>
      </c>
      <c r="O15" s="647">
        <v>1616</v>
      </c>
      <c r="P15" s="647">
        <v>112</v>
      </c>
      <c r="Q15" s="647">
        <v>1453</v>
      </c>
      <c r="R15" s="651">
        <v>0</v>
      </c>
      <c r="S15" s="651">
        <v>0</v>
      </c>
      <c r="T15" s="651">
        <v>0</v>
      </c>
      <c r="U15" s="651">
        <v>0</v>
      </c>
      <c r="V15" s="647">
        <v>17</v>
      </c>
      <c r="W15" s="649">
        <v>163</v>
      </c>
      <c r="X15" s="650">
        <v>18</v>
      </c>
      <c r="Y15" s="649">
        <v>582</v>
      </c>
    </row>
    <row r="16" spans="1:25" s="576" customFormat="1" ht="24" customHeight="1">
      <c r="A16" s="643" t="s">
        <v>164</v>
      </c>
      <c r="B16" s="644" t="s">
        <v>38</v>
      </c>
      <c r="C16" s="645">
        <f t="shared" si="3"/>
        <v>51148</v>
      </c>
      <c r="D16" s="646">
        <v>176</v>
      </c>
      <c r="E16" s="647">
        <v>49351</v>
      </c>
      <c r="F16" s="647">
        <v>176</v>
      </c>
      <c r="G16" s="647">
        <v>40474</v>
      </c>
      <c r="H16" s="652"/>
      <c r="I16" s="652"/>
      <c r="J16" s="647">
        <v>61</v>
      </c>
      <c r="K16" s="647">
        <v>2883</v>
      </c>
      <c r="L16" s="647">
        <v>111</v>
      </c>
      <c r="M16" s="649">
        <v>5994</v>
      </c>
      <c r="N16" s="650">
        <v>125</v>
      </c>
      <c r="O16" s="647">
        <v>1584</v>
      </c>
      <c r="P16" s="647">
        <v>114</v>
      </c>
      <c r="Q16" s="647">
        <v>1086</v>
      </c>
      <c r="R16" s="651">
        <v>0</v>
      </c>
      <c r="S16" s="651">
        <v>0</v>
      </c>
      <c r="T16" s="651">
        <v>2</v>
      </c>
      <c r="U16" s="651">
        <v>140</v>
      </c>
      <c r="V16" s="647">
        <v>38</v>
      </c>
      <c r="W16" s="649">
        <v>358</v>
      </c>
      <c r="X16" s="650">
        <v>4</v>
      </c>
      <c r="Y16" s="649">
        <v>213</v>
      </c>
    </row>
    <row r="17" spans="1:25" s="653" customFormat="1" ht="24" customHeight="1">
      <c r="A17" s="643"/>
      <c r="B17" s="644" t="s">
        <v>46</v>
      </c>
      <c r="C17" s="645">
        <f t="shared" si="3"/>
        <v>45208</v>
      </c>
      <c r="D17" s="646">
        <v>140</v>
      </c>
      <c r="E17" s="647">
        <v>43419</v>
      </c>
      <c r="F17" s="647">
        <v>139</v>
      </c>
      <c r="G17" s="647">
        <v>38874</v>
      </c>
      <c r="H17" s="647">
        <v>1</v>
      </c>
      <c r="I17" s="647">
        <v>16</v>
      </c>
      <c r="J17" s="647">
        <v>37</v>
      </c>
      <c r="K17" s="647">
        <v>1860</v>
      </c>
      <c r="L17" s="647">
        <v>63</v>
      </c>
      <c r="M17" s="649">
        <v>2669</v>
      </c>
      <c r="N17" s="650">
        <v>99</v>
      </c>
      <c r="O17" s="647">
        <v>1623</v>
      </c>
      <c r="P17" s="647">
        <v>97</v>
      </c>
      <c r="Q17" s="647">
        <v>1288</v>
      </c>
      <c r="R17" s="651">
        <v>1</v>
      </c>
      <c r="S17" s="651">
        <v>40</v>
      </c>
      <c r="T17" s="651">
        <v>1</v>
      </c>
      <c r="U17" s="651">
        <v>50</v>
      </c>
      <c r="V17" s="647">
        <v>22</v>
      </c>
      <c r="W17" s="649">
        <v>245</v>
      </c>
      <c r="X17" s="650">
        <v>3</v>
      </c>
      <c r="Y17" s="649">
        <v>166</v>
      </c>
    </row>
    <row r="18" spans="1:25" s="576" customFormat="1" ht="24" customHeight="1">
      <c r="A18" s="643" t="s">
        <v>165</v>
      </c>
      <c r="B18" s="644" t="s">
        <v>38</v>
      </c>
      <c r="C18" s="645">
        <f>E18+O18</f>
        <v>14559</v>
      </c>
      <c r="D18" s="646">
        <v>90</v>
      </c>
      <c r="E18" s="647">
        <v>13951</v>
      </c>
      <c r="F18" s="647">
        <v>84</v>
      </c>
      <c r="G18" s="647">
        <v>11282</v>
      </c>
      <c r="H18" s="652"/>
      <c r="I18" s="652"/>
      <c r="J18" s="647">
        <v>20</v>
      </c>
      <c r="K18" s="647">
        <v>534</v>
      </c>
      <c r="L18" s="647">
        <v>47</v>
      </c>
      <c r="M18" s="649">
        <v>2135</v>
      </c>
      <c r="N18" s="650">
        <v>65</v>
      </c>
      <c r="O18" s="647">
        <v>608</v>
      </c>
      <c r="P18" s="647">
        <v>65</v>
      </c>
      <c r="Q18" s="647">
        <v>494</v>
      </c>
      <c r="R18" s="651">
        <v>1</v>
      </c>
      <c r="S18" s="651">
        <v>20</v>
      </c>
      <c r="T18" s="651">
        <v>0</v>
      </c>
      <c r="U18" s="651">
        <v>0</v>
      </c>
      <c r="V18" s="647">
        <v>8</v>
      </c>
      <c r="W18" s="649">
        <v>94</v>
      </c>
      <c r="X18" s="655">
        <v>2</v>
      </c>
      <c r="Y18" s="656">
        <v>50</v>
      </c>
    </row>
    <row r="19" spans="1:25" s="653" customFormat="1" ht="24" customHeight="1">
      <c r="A19" s="643"/>
      <c r="B19" s="644" t="s">
        <v>46</v>
      </c>
      <c r="C19" s="645">
        <f aca="true" t="shared" si="4" ref="C19:C35">E19+O19+Y19</f>
        <v>7544</v>
      </c>
      <c r="D19" s="646">
        <v>40</v>
      </c>
      <c r="E19" s="647">
        <v>7391</v>
      </c>
      <c r="F19" s="647">
        <v>37</v>
      </c>
      <c r="G19" s="647">
        <v>6565</v>
      </c>
      <c r="H19" s="647">
        <v>2</v>
      </c>
      <c r="I19" s="647">
        <v>331</v>
      </c>
      <c r="J19" s="647">
        <v>11</v>
      </c>
      <c r="K19" s="647">
        <v>255</v>
      </c>
      <c r="L19" s="647">
        <v>8</v>
      </c>
      <c r="M19" s="649">
        <v>240</v>
      </c>
      <c r="N19" s="650">
        <v>14</v>
      </c>
      <c r="O19" s="647">
        <v>153</v>
      </c>
      <c r="P19" s="647">
        <v>14</v>
      </c>
      <c r="Q19" s="647">
        <v>138</v>
      </c>
      <c r="R19" s="651">
        <v>0</v>
      </c>
      <c r="S19" s="651">
        <v>0</v>
      </c>
      <c r="T19" s="651">
        <v>0</v>
      </c>
      <c r="U19" s="651">
        <v>0</v>
      </c>
      <c r="V19" s="647">
        <v>1</v>
      </c>
      <c r="W19" s="649">
        <v>15</v>
      </c>
      <c r="X19" s="655">
        <v>0</v>
      </c>
      <c r="Y19" s="656">
        <v>0</v>
      </c>
    </row>
    <row r="20" spans="1:25" s="576" customFormat="1" ht="24" customHeight="1">
      <c r="A20" s="643" t="s">
        <v>166</v>
      </c>
      <c r="B20" s="644" t="s">
        <v>38</v>
      </c>
      <c r="C20" s="645">
        <f t="shared" si="4"/>
        <v>3146</v>
      </c>
      <c r="D20" s="646">
        <v>42</v>
      </c>
      <c r="E20" s="647">
        <v>2971</v>
      </c>
      <c r="F20" s="647">
        <v>42</v>
      </c>
      <c r="G20" s="647">
        <v>2755</v>
      </c>
      <c r="H20" s="652"/>
      <c r="I20" s="652"/>
      <c r="J20" s="647">
        <v>7</v>
      </c>
      <c r="K20" s="647">
        <v>57</v>
      </c>
      <c r="L20" s="647">
        <v>7</v>
      </c>
      <c r="M20" s="649">
        <v>159</v>
      </c>
      <c r="N20" s="650">
        <v>24</v>
      </c>
      <c r="O20" s="647">
        <v>165</v>
      </c>
      <c r="P20" s="647">
        <v>23</v>
      </c>
      <c r="Q20" s="647">
        <v>117</v>
      </c>
      <c r="R20" s="651">
        <v>0</v>
      </c>
      <c r="S20" s="651">
        <v>0</v>
      </c>
      <c r="T20" s="651">
        <v>0</v>
      </c>
      <c r="U20" s="651">
        <v>0</v>
      </c>
      <c r="V20" s="651">
        <v>6</v>
      </c>
      <c r="W20" s="656">
        <v>48</v>
      </c>
      <c r="X20" s="650">
        <v>1</v>
      </c>
      <c r="Y20" s="649">
        <v>10</v>
      </c>
    </row>
    <row r="21" spans="1:25" s="653" customFormat="1" ht="24" customHeight="1">
      <c r="A21" s="643"/>
      <c r="B21" s="644" t="s">
        <v>46</v>
      </c>
      <c r="C21" s="645">
        <f t="shared" si="4"/>
        <v>2750</v>
      </c>
      <c r="D21" s="646">
        <v>33</v>
      </c>
      <c r="E21" s="647">
        <v>2670</v>
      </c>
      <c r="F21" s="647">
        <v>33</v>
      </c>
      <c r="G21" s="647">
        <v>2570</v>
      </c>
      <c r="H21" s="647">
        <v>0</v>
      </c>
      <c r="I21" s="647">
        <v>0</v>
      </c>
      <c r="J21" s="647">
        <v>1</v>
      </c>
      <c r="K21" s="647">
        <v>10</v>
      </c>
      <c r="L21" s="647">
        <v>2</v>
      </c>
      <c r="M21" s="649">
        <v>90</v>
      </c>
      <c r="N21" s="650">
        <v>14</v>
      </c>
      <c r="O21" s="647">
        <v>80</v>
      </c>
      <c r="P21" s="647">
        <v>13</v>
      </c>
      <c r="Q21" s="647">
        <v>75</v>
      </c>
      <c r="R21" s="651">
        <v>0</v>
      </c>
      <c r="S21" s="651">
        <v>0</v>
      </c>
      <c r="T21" s="651">
        <v>0</v>
      </c>
      <c r="U21" s="651">
        <v>0</v>
      </c>
      <c r="V21" s="651">
        <v>1</v>
      </c>
      <c r="W21" s="656">
        <v>5</v>
      </c>
      <c r="X21" s="650">
        <v>0</v>
      </c>
      <c r="Y21" s="649">
        <v>0</v>
      </c>
    </row>
    <row r="22" spans="1:25" s="576" customFormat="1" ht="24" customHeight="1">
      <c r="A22" s="643" t="s">
        <v>167</v>
      </c>
      <c r="B22" s="644" t="s">
        <v>38</v>
      </c>
      <c r="C22" s="645">
        <f t="shared" si="4"/>
        <v>139824</v>
      </c>
      <c r="D22" s="646">
        <v>561</v>
      </c>
      <c r="E22" s="647">
        <v>122756</v>
      </c>
      <c r="F22" s="647">
        <v>553</v>
      </c>
      <c r="G22" s="647">
        <v>99569</v>
      </c>
      <c r="H22" s="652"/>
      <c r="I22" s="652"/>
      <c r="J22" s="647">
        <v>175</v>
      </c>
      <c r="K22" s="647">
        <v>5483</v>
      </c>
      <c r="L22" s="647">
        <v>370</v>
      </c>
      <c r="M22" s="649">
        <v>17704</v>
      </c>
      <c r="N22" s="650">
        <v>401</v>
      </c>
      <c r="O22" s="647">
        <v>16303</v>
      </c>
      <c r="P22" s="647">
        <v>342</v>
      </c>
      <c r="Q22" s="647">
        <v>4712</v>
      </c>
      <c r="R22" s="651">
        <v>6</v>
      </c>
      <c r="S22" s="651">
        <v>3345</v>
      </c>
      <c r="T22" s="651">
        <v>10</v>
      </c>
      <c r="U22" s="651">
        <v>5105</v>
      </c>
      <c r="V22" s="647">
        <v>152</v>
      </c>
      <c r="W22" s="649">
        <v>3141</v>
      </c>
      <c r="X22" s="650">
        <v>20</v>
      </c>
      <c r="Y22" s="649">
        <v>765</v>
      </c>
    </row>
    <row r="23" spans="1:25" s="653" customFormat="1" ht="24" customHeight="1">
      <c r="A23" s="643"/>
      <c r="B23" s="644" t="s">
        <v>46</v>
      </c>
      <c r="C23" s="645">
        <f t="shared" si="4"/>
        <v>129769</v>
      </c>
      <c r="D23" s="646">
        <v>460</v>
      </c>
      <c r="E23" s="647">
        <v>113001</v>
      </c>
      <c r="F23" s="647">
        <v>456</v>
      </c>
      <c r="G23" s="647">
        <v>106375</v>
      </c>
      <c r="H23" s="647">
        <v>2</v>
      </c>
      <c r="I23" s="647">
        <v>171</v>
      </c>
      <c r="J23" s="647">
        <v>118</v>
      </c>
      <c r="K23" s="647">
        <v>3604</v>
      </c>
      <c r="L23" s="647">
        <v>104</v>
      </c>
      <c r="M23" s="649">
        <v>2851</v>
      </c>
      <c r="N23" s="650">
        <v>300</v>
      </c>
      <c r="O23" s="647">
        <v>16262</v>
      </c>
      <c r="P23" s="647">
        <v>268</v>
      </c>
      <c r="Q23" s="647">
        <v>5472</v>
      </c>
      <c r="R23" s="651">
        <v>6</v>
      </c>
      <c r="S23" s="651">
        <v>2130</v>
      </c>
      <c r="T23" s="651">
        <v>10</v>
      </c>
      <c r="U23" s="651">
        <v>6951</v>
      </c>
      <c r="V23" s="647">
        <v>78</v>
      </c>
      <c r="W23" s="649">
        <v>1709</v>
      </c>
      <c r="X23" s="650">
        <v>16</v>
      </c>
      <c r="Y23" s="649">
        <v>506</v>
      </c>
    </row>
    <row r="24" spans="1:25" s="576" customFormat="1" ht="24" customHeight="1">
      <c r="A24" s="643" t="s">
        <v>168</v>
      </c>
      <c r="B24" s="644" t="s">
        <v>38</v>
      </c>
      <c r="C24" s="645">
        <f t="shared" si="4"/>
        <v>74603</v>
      </c>
      <c r="D24" s="646">
        <v>323</v>
      </c>
      <c r="E24" s="647">
        <v>67721</v>
      </c>
      <c r="F24" s="647">
        <v>323</v>
      </c>
      <c r="G24" s="647">
        <v>58818</v>
      </c>
      <c r="H24" s="652"/>
      <c r="I24" s="652"/>
      <c r="J24" s="647">
        <v>88</v>
      </c>
      <c r="K24" s="647">
        <v>2352</v>
      </c>
      <c r="L24" s="647">
        <v>176</v>
      </c>
      <c r="M24" s="649">
        <v>6551</v>
      </c>
      <c r="N24" s="650">
        <v>250</v>
      </c>
      <c r="O24" s="647">
        <v>6096</v>
      </c>
      <c r="P24" s="647">
        <v>233</v>
      </c>
      <c r="Q24" s="647">
        <v>2644</v>
      </c>
      <c r="R24" s="651">
        <v>1</v>
      </c>
      <c r="S24" s="651">
        <v>322</v>
      </c>
      <c r="T24" s="651">
        <v>4</v>
      </c>
      <c r="U24" s="651">
        <v>1843</v>
      </c>
      <c r="V24" s="647">
        <v>89</v>
      </c>
      <c r="W24" s="649">
        <v>1287</v>
      </c>
      <c r="X24" s="650">
        <v>8</v>
      </c>
      <c r="Y24" s="649">
        <v>786</v>
      </c>
    </row>
    <row r="25" spans="1:25" s="653" customFormat="1" ht="24" customHeight="1">
      <c r="A25" s="643"/>
      <c r="B25" s="644" t="s">
        <v>46</v>
      </c>
      <c r="C25" s="645">
        <f t="shared" si="4"/>
        <v>71131</v>
      </c>
      <c r="D25" s="646">
        <v>259</v>
      </c>
      <c r="E25" s="647">
        <v>64877</v>
      </c>
      <c r="F25" s="647">
        <v>259</v>
      </c>
      <c r="G25" s="647">
        <v>60706</v>
      </c>
      <c r="H25" s="647">
        <v>1</v>
      </c>
      <c r="I25" s="647">
        <v>186</v>
      </c>
      <c r="J25" s="647">
        <v>44</v>
      </c>
      <c r="K25" s="647">
        <v>563</v>
      </c>
      <c r="L25" s="647">
        <v>70</v>
      </c>
      <c r="M25" s="649">
        <v>3422</v>
      </c>
      <c r="N25" s="650">
        <v>170</v>
      </c>
      <c r="O25" s="647">
        <v>5487</v>
      </c>
      <c r="P25" s="647">
        <v>158</v>
      </c>
      <c r="Q25" s="647">
        <v>1873</v>
      </c>
      <c r="R25" s="651">
        <v>2</v>
      </c>
      <c r="S25" s="651">
        <v>873</v>
      </c>
      <c r="T25" s="651">
        <v>2</v>
      </c>
      <c r="U25" s="651">
        <v>1610</v>
      </c>
      <c r="V25" s="647">
        <v>46</v>
      </c>
      <c r="W25" s="649">
        <v>1131</v>
      </c>
      <c r="X25" s="650">
        <v>4</v>
      </c>
      <c r="Y25" s="649">
        <v>767</v>
      </c>
    </row>
    <row r="26" spans="1:25" s="576" customFormat="1" ht="24" customHeight="1">
      <c r="A26" s="643" t="s">
        <v>169</v>
      </c>
      <c r="B26" s="644" t="s">
        <v>38</v>
      </c>
      <c r="C26" s="645">
        <f t="shared" si="4"/>
        <v>13765</v>
      </c>
      <c r="D26" s="646">
        <v>52</v>
      </c>
      <c r="E26" s="647">
        <v>13299</v>
      </c>
      <c r="F26" s="647">
        <v>52</v>
      </c>
      <c r="G26" s="647">
        <v>10926</v>
      </c>
      <c r="H26" s="652"/>
      <c r="I26" s="652"/>
      <c r="J26" s="647">
        <v>16</v>
      </c>
      <c r="K26" s="647">
        <v>603</v>
      </c>
      <c r="L26" s="647">
        <v>15</v>
      </c>
      <c r="M26" s="649">
        <v>1770</v>
      </c>
      <c r="N26" s="650">
        <v>35</v>
      </c>
      <c r="O26" s="647">
        <v>296</v>
      </c>
      <c r="P26" s="647">
        <v>33</v>
      </c>
      <c r="Q26" s="647">
        <v>205</v>
      </c>
      <c r="R26" s="651">
        <v>0</v>
      </c>
      <c r="S26" s="651">
        <v>0</v>
      </c>
      <c r="T26" s="651">
        <v>0</v>
      </c>
      <c r="U26" s="651">
        <v>0</v>
      </c>
      <c r="V26" s="647">
        <v>8</v>
      </c>
      <c r="W26" s="649">
        <v>91</v>
      </c>
      <c r="X26" s="650">
        <v>1</v>
      </c>
      <c r="Y26" s="649">
        <v>170</v>
      </c>
    </row>
    <row r="27" spans="1:25" s="653" customFormat="1" ht="24" customHeight="1">
      <c r="A27" s="643"/>
      <c r="B27" s="644" t="s">
        <v>46</v>
      </c>
      <c r="C27" s="645">
        <f t="shared" si="4"/>
        <v>12089</v>
      </c>
      <c r="D27" s="646">
        <v>36</v>
      </c>
      <c r="E27" s="647">
        <v>11942</v>
      </c>
      <c r="F27" s="647">
        <v>36</v>
      </c>
      <c r="G27" s="647">
        <v>11347</v>
      </c>
      <c r="H27" s="647">
        <v>1</v>
      </c>
      <c r="I27" s="647">
        <v>103</v>
      </c>
      <c r="J27" s="647">
        <v>6</v>
      </c>
      <c r="K27" s="647">
        <v>202</v>
      </c>
      <c r="L27" s="647">
        <v>4</v>
      </c>
      <c r="M27" s="649">
        <v>290</v>
      </c>
      <c r="N27" s="650">
        <v>21</v>
      </c>
      <c r="O27" s="647">
        <v>146</v>
      </c>
      <c r="P27" s="647">
        <v>21</v>
      </c>
      <c r="Q27" s="647">
        <v>136</v>
      </c>
      <c r="R27" s="651">
        <v>0</v>
      </c>
      <c r="S27" s="651">
        <v>0</v>
      </c>
      <c r="T27" s="651">
        <v>0</v>
      </c>
      <c r="U27" s="651">
        <v>0</v>
      </c>
      <c r="V27" s="647">
        <v>2</v>
      </c>
      <c r="W27" s="649">
        <v>10</v>
      </c>
      <c r="X27" s="650">
        <v>1</v>
      </c>
      <c r="Y27" s="649">
        <v>1</v>
      </c>
    </row>
    <row r="28" spans="1:25" s="576" customFormat="1" ht="24" customHeight="1">
      <c r="A28" s="643" t="s">
        <v>76</v>
      </c>
      <c r="B28" s="644" t="s">
        <v>38</v>
      </c>
      <c r="C28" s="645">
        <f t="shared" si="4"/>
        <v>66395</v>
      </c>
      <c r="D28" s="646">
        <v>237</v>
      </c>
      <c r="E28" s="647">
        <v>63825</v>
      </c>
      <c r="F28" s="647">
        <v>235</v>
      </c>
      <c r="G28" s="647">
        <v>57462</v>
      </c>
      <c r="H28" s="652"/>
      <c r="I28" s="652"/>
      <c r="J28" s="647">
        <v>60</v>
      </c>
      <c r="K28" s="647">
        <v>2008</v>
      </c>
      <c r="L28" s="647">
        <v>92</v>
      </c>
      <c r="M28" s="649">
        <v>4355</v>
      </c>
      <c r="N28" s="650">
        <v>169</v>
      </c>
      <c r="O28" s="647">
        <v>2498</v>
      </c>
      <c r="P28" s="647">
        <v>163</v>
      </c>
      <c r="Q28" s="647">
        <v>2148</v>
      </c>
      <c r="R28" s="651">
        <v>2</v>
      </c>
      <c r="S28" s="651">
        <v>22</v>
      </c>
      <c r="T28" s="651">
        <v>0</v>
      </c>
      <c r="U28" s="651">
        <v>0</v>
      </c>
      <c r="V28" s="647">
        <v>41</v>
      </c>
      <c r="W28" s="649">
        <v>328</v>
      </c>
      <c r="X28" s="650">
        <v>8</v>
      </c>
      <c r="Y28" s="649">
        <v>72</v>
      </c>
    </row>
    <row r="29" spans="1:25" s="653" customFormat="1" ht="24" customHeight="1">
      <c r="A29" s="643"/>
      <c r="B29" s="644" t="s">
        <v>46</v>
      </c>
      <c r="C29" s="645">
        <f t="shared" si="4"/>
        <v>61081</v>
      </c>
      <c r="D29" s="646">
        <v>195</v>
      </c>
      <c r="E29" s="647">
        <v>59402</v>
      </c>
      <c r="F29" s="647">
        <v>194</v>
      </c>
      <c r="G29" s="647">
        <v>57586</v>
      </c>
      <c r="H29" s="647">
        <v>0</v>
      </c>
      <c r="I29" s="647">
        <v>0</v>
      </c>
      <c r="J29" s="647">
        <v>35</v>
      </c>
      <c r="K29" s="647">
        <v>1116</v>
      </c>
      <c r="L29" s="647">
        <v>31</v>
      </c>
      <c r="M29" s="649">
        <v>700</v>
      </c>
      <c r="N29" s="650">
        <v>123</v>
      </c>
      <c r="O29" s="647">
        <v>1583</v>
      </c>
      <c r="P29" s="647">
        <v>113</v>
      </c>
      <c r="Q29" s="647">
        <v>1323</v>
      </c>
      <c r="R29" s="651">
        <v>0</v>
      </c>
      <c r="S29" s="651">
        <v>0</v>
      </c>
      <c r="T29" s="651">
        <v>0</v>
      </c>
      <c r="U29" s="651">
        <v>0</v>
      </c>
      <c r="V29" s="647">
        <v>31</v>
      </c>
      <c r="W29" s="649">
        <v>260</v>
      </c>
      <c r="X29" s="650">
        <v>5</v>
      </c>
      <c r="Y29" s="649">
        <v>96</v>
      </c>
    </row>
    <row r="30" spans="1:25" s="576" customFormat="1" ht="24" customHeight="1">
      <c r="A30" s="643" t="s">
        <v>170</v>
      </c>
      <c r="B30" s="644" t="s">
        <v>38</v>
      </c>
      <c r="C30" s="645">
        <f t="shared" si="4"/>
        <v>166891</v>
      </c>
      <c r="D30" s="646">
        <v>559</v>
      </c>
      <c r="E30" s="647">
        <v>160720</v>
      </c>
      <c r="F30" s="647">
        <v>558</v>
      </c>
      <c r="G30" s="647">
        <v>148581</v>
      </c>
      <c r="H30" s="652"/>
      <c r="I30" s="652"/>
      <c r="J30" s="647">
        <v>183</v>
      </c>
      <c r="K30" s="647">
        <v>7205</v>
      </c>
      <c r="L30" s="647">
        <v>183</v>
      </c>
      <c r="M30" s="649">
        <v>4934</v>
      </c>
      <c r="N30" s="650">
        <v>422</v>
      </c>
      <c r="O30" s="647">
        <v>5939</v>
      </c>
      <c r="P30" s="647">
        <v>398</v>
      </c>
      <c r="Q30" s="647">
        <v>4598</v>
      </c>
      <c r="R30" s="651">
        <v>3</v>
      </c>
      <c r="S30" s="651">
        <v>128</v>
      </c>
      <c r="T30" s="651">
        <v>2</v>
      </c>
      <c r="U30" s="651">
        <v>33</v>
      </c>
      <c r="V30" s="647">
        <v>102</v>
      </c>
      <c r="W30" s="649">
        <v>1180</v>
      </c>
      <c r="X30" s="650">
        <v>22</v>
      </c>
      <c r="Y30" s="649">
        <v>232</v>
      </c>
    </row>
    <row r="31" spans="1:25" s="653" customFormat="1" ht="24" customHeight="1">
      <c r="A31" s="643"/>
      <c r="B31" s="644" t="s">
        <v>46</v>
      </c>
      <c r="C31" s="645">
        <f t="shared" si="4"/>
        <v>166896</v>
      </c>
      <c r="D31" s="646">
        <v>463</v>
      </c>
      <c r="E31" s="647">
        <v>161321</v>
      </c>
      <c r="F31" s="647">
        <v>462</v>
      </c>
      <c r="G31" s="647">
        <v>154968</v>
      </c>
      <c r="H31" s="647">
        <v>1</v>
      </c>
      <c r="I31" s="647">
        <v>124</v>
      </c>
      <c r="J31" s="647">
        <v>111</v>
      </c>
      <c r="K31" s="647">
        <v>3408</v>
      </c>
      <c r="L31" s="647">
        <v>82</v>
      </c>
      <c r="M31" s="649">
        <v>2821</v>
      </c>
      <c r="N31" s="650">
        <v>313</v>
      </c>
      <c r="O31" s="647">
        <v>5222</v>
      </c>
      <c r="P31" s="647">
        <v>285</v>
      </c>
      <c r="Q31" s="647">
        <v>3905</v>
      </c>
      <c r="R31" s="651">
        <v>1</v>
      </c>
      <c r="S31" s="651">
        <v>91</v>
      </c>
      <c r="T31" s="651">
        <v>0</v>
      </c>
      <c r="U31" s="651">
        <v>0</v>
      </c>
      <c r="V31" s="647">
        <v>82</v>
      </c>
      <c r="W31" s="649">
        <v>1226</v>
      </c>
      <c r="X31" s="650">
        <v>20</v>
      </c>
      <c r="Y31" s="649">
        <v>353</v>
      </c>
    </row>
    <row r="32" spans="1:25" s="576" customFormat="1" ht="24" customHeight="1">
      <c r="A32" s="643" t="s">
        <v>78</v>
      </c>
      <c r="B32" s="644" t="s">
        <v>38</v>
      </c>
      <c r="C32" s="645">
        <f t="shared" si="4"/>
        <v>90843</v>
      </c>
      <c r="D32" s="646">
        <v>264</v>
      </c>
      <c r="E32" s="647">
        <v>71721</v>
      </c>
      <c r="F32" s="647">
        <v>263</v>
      </c>
      <c r="G32" s="647">
        <v>58254</v>
      </c>
      <c r="H32" s="652"/>
      <c r="I32" s="652"/>
      <c r="J32" s="647">
        <v>123</v>
      </c>
      <c r="K32" s="647">
        <v>7930</v>
      </c>
      <c r="L32" s="647">
        <v>134</v>
      </c>
      <c r="M32" s="649">
        <v>5537</v>
      </c>
      <c r="N32" s="650">
        <v>263</v>
      </c>
      <c r="O32" s="647">
        <v>19049</v>
      </c>
      <c r="P32" s="647">
        <v>256</v>
      </c>
      <c r="Q32" s="647">
        <v>13657</v>
      </c>
      <c r="R32" s="651">
        <v>3</v>
      </c>
      <c r="S32" s="651">
        <v>122</v>
      </c>
      <c r="T32" s="651">
        <v>3</v>
      </c>
      <c r="U32" s="651">
        <v>337</v>
      </c>
      <c r="V32" s="647">
        <v>136</v>
      </c>
      <c r="W32" s="649">
        <v>4933</v>
      </c>
      <c r="X32" s="650">
        <v>8</v>
      </c>
      <c r="Y32" s="649">
        <v>73</v>
      </c>
    </row>
    <row r="33" spans="1:25" s="653" customFormat="1" ht="24" customHeight="1">
      <c r="A33" s="643"/>
      <c r="B33" s="644" t="s">
        <v>46</v>
      </c>
      <c r="C33" s="645">
        <f t="shared" si="4"/>
        <v>82815</v>
      </c>
      <c r="D33" s="646">
        <v>221</v>
      </c>
      <c r="E33" s="647">
        <v>66937</v>
      </c>
      <c r="F33" s="647">
        <v>221</v>
      </c>
      <c r="G33" s="647">
        <v>62572</v>
      </c>
      <c r="H33" s="647">
        <v>3</v>
      </c>
      <c r="I33" s="647">
        <v>348</v>
      </c>
      <c r="J33" s="647">
        <v>52</v>
      </c>
      <c r="K33" s="647">
        <v>2778</v>
      </c>
      <c r="L33" s="647">
        <v>32</v>
      </c>
      <c r="M33" s="649">
        <v>1239</v>
      </c>
      <c r="N33" s="650">
        <v>208</v>
      </c>
      <c r="O33" s="647">
        <v>15797</v>
      </c>
      <c r="P33" s="647">
        <v>203</v>
      </c>
      <c r="Q33" s="647">
        <v>11990</v>
      </c>
      <c r="R33" s="651">
        <v>1</v>
      </c>
      <c r="S33" s="651">
        <v>60</v>
      </c>
      <c r="T33" s="651">
        <v>2</v>
      </c>
      <c r="U33" s="651">
        <v>448</v>
      </c>
      <c r="V33" s="647">
        <v>75</v>
      </c>
      <c r="W33" s="649">
        <v>3299</v>
      </c>
      <c r="X33" s="650">
        <v>9</v>
      </c>
      <c r="Y33" s="649">
        <v>81</v>
      </c>
    </row>
    <row r="34" spans="1:25" s="576" customFormat="1" ht="24" customHeight="1">
      <c r="A34" s="643" t="s">
        <v>79</v>
      </c>
      <c r="B34" s="644" t="s">
        <v>38</v>
      </c>
      <c r="C34" s="645">
        <f>E34+O34+Y34</f>
        <v>120329</v>
      </c>
      <c r="D34" s="657">
        <v>415</v>
      </c>
      <c r="E34" s="658">
        <v>115347</v>
      </c>
      <c r="F34" s="658">
        <v>412</v>
      </c>
      <c r="G34" s="658">
        <v>99156</v>
      </c>
      <c r="H34" s="652"/>
      <c r="I34" s="652"/>
      <c r="J34" s="658">
        <v>208</v>
      </c>
      <c r="K34" s="658">
        <v>10806</v>
      </c>
      <c r="L34" s="658">
        <v>171</v>
      </c>
      <c r="M34" s="645">
        <v>5385</v>
      </c>
      <c r="N34" s="659">
        <v>313</v>
      </c>
      <c r="O34" s="658">
        <v>4876</v>
      </c>
      <c r="P34" s="658">
        <v>301</v>
      </c>
      <c r="Q34" s="658">
        <v>2957</v>
      </c>
      <c r="R34" s="660">
        <v>0</v>
      </c>
      <c r="S34" s="660">
        <v>0</v>
      </c>
      <c r="T34" s="660">
        <v>4</v>
      </c>
      <c r="U34" s="660">
        <v>1568</v>
      </c>
      <c r="V34" s="658">
        <v>49</v>
      </c>
      <c r="W34" s="645">
        <v>351</v>
      </c>
      <c r="X34" s="659">
        <v>11</v>
      </c>
      <c r="Y34" s="645">
        <v>106</v>
      </c>
    </row>
    <row r="35" spans="1:25" s="653" customFormat="1" ht="24" customHeight="1" thickBot="1">
      <c r="A35" s="661"/>
      <c r="B35" s="662" t="s">
        <v>46</v>
      </c>
      <c r="C35" s="663">
        <f t="shared" si="4"/>
        <v>101697</v>
      </c>
      <c r="D35" s="664">
        <v>307</v>
      </c>
      <c r="E35" s="665">
        <v>97742</v>
      </c>
      <c r="F35" s="665">
        <v>304</v>
      </c>
      <c r="G35" s="665">
        <v>90389</v>
      </c>
      <c r="H35" s="665">
        <v>7</v>
      </c>
      <c r="I35" s="665">
        <v>642</v>
      </c>
      <c r="J35" s="665">
        <v>97</v>
      </c>
      <c r="K35" s="665">
        <v>5088</v>
      </c>
      <c r="L35" s="665">
        <v>51</v>
      </c>
      <c r="M35" s="666">
        <v>1623</v>
      </c>
      <c r="N35" s="667">
        <v>228</v>
      </c>
      <c r="O35" s="665">
        <v>3953</v>
      </c>
      <c r="P35" s="665">
        <v>218</v>
      </c>
      <c r="Q35" s="665">
        <v>2437</v>
      </c>
      <c r="R35" s="668">
        <v>2</v>
      </c>
      <c r="S35" s="668">
        <v>36</v>
      </c>
      <c r="T35" s="668">
        <v>3</v>
      </c>
      <c r="U35" s="668">
        <v>824</v>
      </c>
      <c r="V35" s="665">
        <v>33</v>
      </c>
      <c r="W35" s="666">
        <v>656</v>
      </c>
      <c r="X35" s="667">
        <v>2</v>
      </c>
      <c r="Y35" s="666">
        <v>2</v>
      </c>
    </row>
    <row r="36" spans="1:25" s="672" customFormat="1" ht="13.5">
      <c r="A36" s="669" t="s">
        <v>264</v>
      </c>
      <c r="B36" s="669"/>
      <c r="C36" s="670"/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671"/>
      <c r="O36" s="671"/>
      <c r="P36" s="671"/>
      <c r="Q36" s="671"/>
      <c r="R36" s="671"/>
      <c r="S36" s="671"/>
      <c r="T36" s="671"/>
      <c r="U36" s="671"/>
      <c r="V36" s="671"/>
      <c r="W36" s="671"/>
      <c r="X36" s="671"/>
      <c r="Y36" s="671"/>
    </row>
    <row r="37" ht="27" customHeight="1"/>
    <row r="38" ht="13.5">
      <c r="P38" s="671"/>
    </row>
  </sheetData>
  <sheetProtection/>
  <mergeCells count="42">
    <mergeCell ref="A32:A33"/>
    <mergeCell ref="A34:A35"/>
    <mergeCell ref="A20:A21"/>
    <mergeCell ref="A22:A23"/>
    <mergeCell ref="A24:A25"/>
    <mergeCell ref="A26:A27"/>
    <mergeCell ref="A28:A29"/>
    <mergeCell ref="A30:A31"/>
    <mergeCell ref="A9:B9"/>
    <mergeCell ref="A10:A11"/>
    <mergeCell ref="A12:A13"/>
    <mergeCell ref="A14:A15"/>
    <mergeCell ref="A16:A17"/>
    <mergeCell ref="A18:A19"/>
    <mergeCell ref="X6:X8"/>
    <mergeCell ref="Y6:Y8"/>
    <mergeCell ref="F7:G7"/>
    <mergeCell ref="H7:I7"/>
    <mergeCell ref="P7:P8"/>
    <mergeCell ref="Q7:Q8"/>
    <mergeCell ref="R7:R8"/>
    <mergeCell ref="S7:S8"/>
    <mergeCell ref="T7:T8"/>
    <mergeCell ref="U7:U8"/>
    <mergeCell ref="N6:N8"/>
    <mergeCell ref="O6:O8"/>
    <mergeCell ref="P6:Q6"/>
    <mergeCell ref="R6:S6"/>
    <mergeCell ref="T6:U6"/>
    <mergeCell ref="V6:W6"/>
    <mergeCell ref="V7:V8"/>
    <mergeCell ref="W7:W8"/>
    <mergeCell ref="A5:B8"/>
    <mergeCell ref="C5:C8"/>
    <mergeCell ref="D5:M5"/>
    <mergeCell ref="N5:W5"/>
    <mergeCell ref="X5:Y5"/>
    <mergeCell ref="D6:D8"/>
    <mergeCell ref="E6:E8"/>
    <mergeCell ref="F6:I6"/>
    <mergeCell ref="J6:K7"/>
    <mergeCell ref="L6:M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2" r:id="rId1"/>
  <headerFooter alignWithMargins="0">
    <oddFooter>&amp;C- &amp;P+45 -</oddFooter>
  </headerFooter>
  <colBreaks count="1" manualBreakCount="1">
    <brk id="13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75"/>
  <sheetViews>
    <sheetView zoomScaleSheetLayoutView="90" workbookViewId="0" topLeftCell="A1">
      <selection activeCell="Z36" sqref="Z36:AC36"/>
    </sheetView>
  </sheetViews>
  <sheetFormatPr defaultColWidth="9.00390625" defaultRowHeight="13.5"/>
  <cols>
    <col min="1" max="1" width="7.375" style="0" customWidth="1"/>
    <col min="2" max="2" width="3.125" style="0" customWidth="1"/>
    <col min="3" max="3" width="2.75390625" style="0" customWidth="1"/>
    <col min="4" max="4" width="3.00390625" style="0" customWidth="1"/>
    <col min="5" max="5" width="1.25" style="0" customWidth="1"/>
    <col min="6" max="6" width="1.37890625" style="0" customWidth="1"/>
    <col min="7" max="11" width="2.75390625" style="0" customWidth="1"/>
    <col min="12" max="12" width="2.875" style="0" customWidth="1"/>
    <col min="13" max="13" width="1.25" style="0" customWidth="1"/>
    <col min="14" max="14" width="1.4921875" style="0" customWidth="1"/>
    <col min="15" max="15" width="3.25390625" style="0" customWidth="1"/>
    <col min="16" max="20" width="2.75390625" style="0" customWidth="1"/>
    <col min="21" max="22" width="1.4921875" style="0" customWidth="1"/>
    <col min="23" max="28" width="2.75390625" style="0" customWidth="1"/>
    <col min="29" max="30" width="1.4921875" style="0" customWidth="1"/>
    <col min="31" max="31" width="3.00390625" style="0" customWidth="1"/>
    <col min="32" max="32" width="2.75390625" style="0" customWidth="1"/>
    <col min="33" max="33" width="3.25390625" style="0" customWidth="1"/>
  </cols>
  <sheetData>
    <row r="1" spans="1:37" ht="14.25" customHeight="1">
      <c r="A1" s="17" t="s">
        <v>265</v>
      </c>
      <c r="AH1" s="27"/>
      <c r="AI1" s="27"/>
      <c r="AJ1" s="27"/>
      <c r="AK1" s="27"/>
    </row>
    <row r="2" spans="33:37" ht="6.75" customHeight="1" thickBot="1">
      <c r="AG2" s="673"/>
      <c r="AH2" s="27"/>
      <c r="AI2" s="27"/>
      <c r="AJ2" s="27"/>
      <c r="AK2" s="27"/>
    </row>
    <row r="3" spans="1:33" ht="16.5" customHeight="1">
      <c r="A3" s="126" t="s">
        <v>34</v>
      </c>
      <c r="B3" s="136" t="s">
        <v>19</v>
      </c>
      <c r="C3" s="136"/>
      <c r="D3" s="136"/>
      <c r="E3" s="136"/>
      <c r="F3" s="136"/>
      <c r="G3" s="136"/>
      <c r="H3" s="136"/>
      <c r="I3" s="136"/>
      <c r="J3" s="136" t="s">
        <v>241</v>
      </c>
      <c r="K3" s="136"/>
      <c r="L3" s="136"/>
      <c r="M3" s="136"/>
      <c r="N3" s="136"/>
      <c r="O3" s="136"/>
      <c r="P3" s="136"/>
      <c r="Q3" s="136"/>
      <c r="R3" s="136" t="s">
        <v>242</v>
      </c>
      <c r="S3" s="136"/>
      <c r="T3" s="136"/>
      <c r="U3" s="136"/>
      <c r="V3" s="136"/>
      <c r="W3" s="136"/>
      <c r="X3" s="136"/>
      <c r="Y3" s="136"/>
      <c r="Z3" s="136" t="s">
        <v>266</v>
      </c>
      <c r="AA3" s="136"/>
      <c r="AB3" s="136"/>
      <c r="AC3" s="136"/>
      <c r="AD3" s="136"/>
      <c r="AE3" s="136"/>
      <c r="AF3" s="136"/>
      <c r="AG3" s="117"/>
    </row>
    <row r="4" spans="1:33" ht="16.5" customHeight="1">
      <c r="A4" s="140"/>
      <c r="B4" s="118" t="s">
        <v>267</v>
      </c>
      <c r="C4" s="118"/>
      <c r="D4" s="118"/>
      <c r="E4" s="118"/>
      <c r="F4" s="118" t="s">
        <v>268</v>
      </c>
      <c r="G4" s="118"/>
      <c r="H4" s="118"/>
      <c r="I4" s="118"/>
      <c r="J4" s="118" t="s">
        <v>259</v>
      </c>
      <c r="K4" s="118"/>
      <c r="L4" s="118"/>
      <c r="M4" s="118"/>
      <c r="N4" s="118" t="s">
        <v>268</v>
      </c>
      <c r="O4" s="118"/>
      <c r="P4" s="118"/>
      <c r="Q4" s="118"/>
      <c r="R4" s="118" t="s">
        <v>259</v>
      </c>
      <c r="S4" s="118"/>
      <c r="T4" s="118"/>
      <c r="U4" s="118"/>
      <c r="V4" s="118" t="s">
        <v>268</v>
      </c>
      <c r="W4" s="118"/>
      <c r="X4" s="118"/>
      <c r="Y4" s="118"/>
      <c r="Z4" s="118" t="s">
        <v>259</v>
      </c>
      <c r="AA4" s="118"/>
      <c r="AB4" s="118"/>
      <c r="AC4" s="118"/>
      <c r="AD4" s="118" t="s">
        <v>268</v>
      </c>
      <c r="AE4" s="118"/>
      <c r="AF4" s="118"/>
      <c r="AG4" s="119"/>
    </row>
    <row r="5" spans="1:33" ht="22.5" customHeight="1">
      <c r="A5" s="674" t="s">
        <v>261</v>
      </c>
      <c r="B5" s="675" t="s">
        <v>263</v>
      </c>
      <c r="C5" s="675"/>
      <c r="D5" s="675"/>
      <c r="E5" s="675"/>
      <c r="F5" s="676" t="s">
        <v>262</v>
      </c>
      <c r="G5" s="676"/>
      <c r="H5" s="676"/>
      <c r="I5" s="676"/>
      <c r="J5" s="675" t="s">
        <v>263</v>
      </c>
      <c r="K5" s="675"/>
      <c r="L5" s="675"/>
      <c r="M5" s="675"/>
      <c r="N5" s="676" t="s">
        <v>262</v>
      </c>
      <c r="O5" s="676"/>
      <c r="P5" s="676"/>
      <c r="Q5" s="676"/>
      <c r="R5" s="675" t="s">
        <v>263</v>
      </c>
      <c r="S5" s="675"/>
      <c r="T5" s="675"/>
      <c r="U5" s="675"/>
      <c r="V5" s="676" t="s">
        <v>262</v>
      </c>
      <c r="W5" s="676"/>
      <c r="X5" s="676"/>
      <c r="Y5" s="676"/>
      <c r="Z5" s="675" t="s">
        <v>263</v>
      </c>
      <c r="AA5" s="675"/>
      <c r="AB5" s="675"/>
      <c r="AC5" s="675"/>
      <c r="AD5" s="676" t="s">
        <v>262</v>
      </c>
      <c r="AE5" s="676"/>
      <c r="AF5" s="676"/>
      <c r="AG5" s="677"/>
    </row>
    <row r="6" spans="1:33" ht="22.5" customHeight="1">
      <c r="A6" s="678" t="s">
        <v>19</v>
      </c>
      <c r="B6" s="679">
        <f>SUM(B7:E18)</f>
        <v>1188</v>
      </c>
      <c r="C6" s="679"/>
      <c r="D6" s="679"/>
      <c r="E6" s="679"/>
      <c r="F6" s="679">
        <f>SUM(F7:I18)</f>
        <v>281468</v>
      </c>
      <c r="G6" s="679"/>
      <c r="H6" s="679"/>
      <c r="I6" s="679"/>
      <c r="J6" s="679">
        <f>SUM(J7:J18)</f>
        <v>1090</v>
      </c>
      <c r="K6" s="679"/>
      <c r="L6" s="679"/>
      <c r="M6" s="679"/>
      <c r="N6" s="679">
        <f>SUM(N7:N18)</f>
        <v>263336</v>
      </c>
      <c r="O6" s="679"/>
      <c r="P6" s="679"/>
      <c r="Q6" s="679"/>
      <c r="R6" s="680">
        <f>SUM(R7:R18)</f>
        <v>244</v>
      </c>
      <c r="S6" s="680"/>
      <c r="T6" s="680"/>
      <c r="U6" s="680"/>
      <c r="V6" s="679">
        <f>SUM(V7:V18)</f>
        <v>17683</v>
      </c>
      <c r="W6" s="679"/>
      <c r="X6" s="679"/>
      <c r="Y6" s="679"/>
      <c r="Z6" s="680">
        <f>SUM(Z7:AC18)</f>
        <v>12</v>
      </c>
      <c r="AA6" s="680"/>
      <c r="AB6" s="680"/>
      <c r="AC6" s="680"/>
      <c r="AD6" s="680">
        <f>SUM(AD7:AG18)</f>
        <v>449</v>
      </c>
      <c r="AE6" s="680"/>
      <c r="AF6" s="680"/>
      <c r="AG6" s="681"/>
    </row>
    <row r="7" spans="1:33" ht="22.5" customHeight="1">
      <c r="A7" s="678" t="s">
        <v>86</v>
      </c>
      <c r="B7" s="680">
        <v>72</v>
      </c>
      <c r="C7" s="680"/>
      <c r="D7" s="680"/>
      <c r="E7" s="680"/>
      <c r="F7" s="679">
        <v>21672</v>
      </c>
      <c r="G7" s="679"/>
      <c r="H7" s="679"/>
      <c r="I7" s="679"/>
      <c r="J7" s="680">
        <v>70</v>
      </c>
      <c r="K7" s="680"/>
      <c r="L7" s="680"/>
      <c r="M7" s="680"/>
      <c r="N7" s="679">
        <v>21585</v>
      </c>
      <c r="O7" s="679"/>
      <c r="P7" s="679"/>
      <c r="Q7" s="679"/>
      <c r="R7" s="680">
        <v>5</v>
      </c>
      <c r="S7" s="680"/>
      <c r="T7" s="680"/>
      <c r="U7" s="680"/>
      <c r="V7" s="680">
        <v>87</v>
      </c>
      <c r="W7" s="680"/>
      <c r="X7" s="680"/>
      <c r="Y7" s="680"/>
      <c r="Z7" s="682">
        <v>0</v>
      </c>
      <c r="AA7" s="682"/>
      <c r="AB7" s="682"/>
      <c r="AC7" s="682"/>
      <c r="AD7" s="682">
        <v>0</v>
      </c>
      <c r="AE7" s="682"/>
      <c r="AF7" s="682"/>
      <c r="AG7" s="683"/>
    </row>
    <row r="8" spans="1:33" ht="22.5" customHeight="1">
      <c r="A8" s="684" t="s">
        <v>69</v>
      </c>
      <c r="B8" s="685">
        <v>71</v>
      </c>
      <c r="C8" s="686"/>
      <c r="D8" s="686"/>
      <c r="E8" s="687"/>
      <c r="F8" s="679">
        <v>16067</v>
      </c>
      <c r="G8" s="679"/>
      <c r="H8" s="679"/>
      <c r="I8" s="679"/>
      <c r="J8" s="680">
        <v>64</v>
      </c>
      <c r="K8" s="680"/>
      <c r="L8" s="680"/>
      <c r="M8" s="680"/>
      <c r="N8" s="679">
        <v>15818</v>
      </c>
      <c r="O8" s="679"/>
      <c r="P8" s="679"/>
      <c r="Q8" s="679"/>
      <c r="R8" s="680">
        <v>15</v>
      </c>
      <c r="S8" s="680"/>
      <c r="T8" s="680"/>
      <c r="U8" s="680"/>
      <c r="V8" s="680">
        <v>208</v>
      </c>
      <c r="W8" s="680"/>
      <c r="X8" s="680"/>
      <c r="Y8" s="680"/>
      <c r="Z8" s="680">
        <v>3</v>
      </c>
      <c r="AA8" s="680"/>
      <c r="AB8" s="680"/>
      <c r="AC8" s="680"/>
      <c r="AD8" s="680">
        <v>41</v>
      </c>
      <c r="AE8" s="680"/>
      <c r="AF8" s="680"/>
      <c r="AG8" s="681"/>
    </row>
    <row r="9" spans="1:33" ht="22.5" customHeight="1">
      <c r="A9" s="678" t="s">
        <v>269</v>
      </c>
      <c r="B9" s="685">
        <v>80</v>
      </c>
      <c r="C9" s="686"/>
      <c r="D9" s="686"/>
      <c r="E9" s="687"/>
      <c r="F9" s="679">
        <v>19756</v>
      </c>
      <c r="G9" s="679"/>
      <c r="H9" s="679"/>
      <c r="I9" s="679"/>
      <c r="J9" s="680">
        <v>78</v>
      </c>
      <c r="K9" s="680"/>
      <c r="L9" s="680"/>
      <c r="M9" s="680"/>
      <c r="N9" s="679">
        <v>19641</v>
      </c>
      <c r="O9" s="679"/>
      <c r="P9" s="679"/>
      <c r="Q9" s="679"/>
      <c r="R9" s="680">
        <v>6</v>
      </c>
      <c r="S9" s="680"/>
      <c r="T9" s="680"/>
      <c r="U9" s="680"/>
      <c r="V9" s="680">
        <v>115</v>
      </c>
      <c r="W9" s="680"/>
      <c r="X9" s="680"/>
      <c r="Y9" s="680"/>
      <c r="Z9" s="680">
        <v>0</v>
      </c>
      <c r="AA9" s="680"/>
      <c r="AB9" s="680"/>
      <c r="AC9" s="680"/>
      <c r="AD9" s="680">
        <v>0</v>
      </c>
      <c r="AE9" s="680"/>
      <c r="AF9" s="680"/>
      <c r="AG9" s="681"/>
    </row>
    <row r="10" spans="1:33" ht="22.5" customHeight="1">
      <c r="A10" s="678" t="s">
        <v>270</v>
      </c>
      <c r="B10" s="685">
        <v>25</v>
      </c>
      <c r="C10" s="686"/>
      <c r="D10" s="686"/>
      <c r="E10" s="687"/>
      <c r="F10" s="679">
        <v>2550</v>
      </c>
      <c r="G10" s="679"/>
      <c r="H10" s="679"/>
      <c r="I10" s="679"/>
      <c r="J10" s="680">
        <v>24</v>
      </c>
      <c r="K10" s="680"/>
      <c r="L10" s="680"/>
      <c r="M10" s="680"/>
      <c r="N10" s="679">
        <v>2536</v>
      </c>
      <c r="O10" s="679"/>
      <c r="P10" s="679"/>
      <c r="Q10" s="679"/>
      <c r="R10" s="680">
        <v>1</v>
      </c>
      <c r="S10" s="680"/>
      <c r="T10" s="680"/>
      <c r="U10" s="680"/>
      <c r="V10" s="680">
        <v>14</v>
      </c>
      <c r="W10" s="680"/>
      <c r="X10" s="680"/>
      <c r="Y10" s="680"/>
      <c r="Z10" s="682">
        <v>0</v>
      </c>
      <c r="AA10" s="682"/>
      <c r="AB10" s="682"/>
      <c r="AC10" s="682"/>
      <c r="AD10" s="682">
        <v>0</v>
      </c>
      <c r="AE10" s="682"/>
      <c r="AF10" s="682"/>
      <c r="AG10" s="683"/>
    </row>
    <row r="11" spans="1:33" ht="22.5" customHeight="1">
      <c r="A11" s="678" t="s">
        <v>271</v>
      </c>
      <c r="B11" s="685">
        <v>22</v>
      </c>
      <c r="C11" s="686"/>
      <c r="D11" s="686"/>
      <c r="E11" s="687"/>
      <c r="F11" s="680">
        <v>967</v>
      </c>
      <c r="G11" s="680"/>
      <c r="H11" s="680"/>
      <c r="I11" s="680"/>
      <c r="J11" s="680">
        <v>22</v>
      </c>
      <c r="K11" s="680"/>
      <c r="L11" s="680"/>
      <c r="M11" s="680"/>
      <c r="N11" s="679">
        <v>949</v>
      </c>
      <c r="O11" s="679"/>
      <c r="P11" s="679"/>
      <c r="Q11" s="679"/>
      <c r="R11" s="682">
        <v>3</v>
      </c>
      <c r="S11" s="682"/>
      <c r="T11" s="682"/>
      <c r="U11" s="682"/>
      <c r="V11" s="682">
        <v>18</v>
      </c>
      <c r="W11" s="682"/>
      <c r="X11" s="682"/>
      <c r="Y11" s="682"/>
      <c r="Z11" s="682">
        <v>0</v>
      </c>
      <c r="AA11" s="682"/>
      <c r="AB11" s="682"/>
      <c r="AC11" s="682"/>
      <c r="AD11" s="682">
        <v>0</v>
      </c>
      <c r="AE11" s="682"/>
      <c r="AF11" s="682"/>
      <c r="AG11" s="683"/>
    </row>
    <row r="12" spans="1:33" ht="22.5" customHeight="1">
      <c r="A12" s="678" t="s">
        <v>272</v>
      </c>
      <c r="B12" s="685">
        <v>220</v>
      </c>
      <c r="C12" s="686"/>
      <c r="D12" s="686"/>
      <c r="E12" s="687"/>
      <c r="F12" s="679">
        <v>42217</v>
      </c>
      <c r="G12" s="679"/>
      <c r="H12" s="679"/>
      <c r="I12" s="679"/>
      <c r="J12" s="680">
        <v>203</v>
      </c>
      <c r="K12" s="680"/>
      <c r="L12" s="680"/>
      <c r="M12" s="680"/>
      <c r="N12" s="679">
        <v>35567</v>
      </c>
      <c r="O12" s="679"/>
      <c r="P12" s="679"/>
      <c r="Q12" s="679"/>
      <c r="R12" s="680">
        <v>44</v>
      </c>
      <c r="S12" s="680"/>
      <c r="T12" s="680"/>
      <c r="U12" s="680"/>
      <c r="V12" s="679">
        <v>6605</v>
      </c>
      <c r="W12" s="679"/>
      <c r="X12" s="679"/>
      <c r="Y12" s="679"/>
      <c r="Z12" s="680">
        <v>4</v>
      </c>
      <c r="AA12" s="680"/>
      <c r="AB12" s="680"/>
      <c r="AC12" s="680"/>
      <c r="AD12" s="680">
        <v>45</v>
      </c>
      <c r="AE12" s="680"/>
      <c r="AF12" s="680"/>
      <c r="AG12" s="681"/>
    </row>
    <row r="13" spans="1:33" ht="22.5" customHeight="1">
      <c r="A13" s="678" t="s">
        <v>273</v>
      </c>
      <c r="B13" s="685">
        <v>121</v>
      </c>
      <c r="C13" s="686"/>
      <c r="D13" s="686"/>
      <c r="E13" s="687"/>
      <c r="F13" s="679">
        <v>32551</v>
      </c>
      <c r="G13" s="679"/>
      <c r="H13" s="679"/>
      <c r="I13" s="679"/>
      <c r="J13" s="680">
        <v>112</v>
      </c>
      <c r="K13" s="680"/>
      <c r="L13" s="680"/>
      <c r="M13" s="680"/>
      <c r="N13" s="679">
        <v>30194</v>
      </c>
      <c r="O13" s="679"/>
      <c r="P13" s="679"/>
      <c r="Q13" s="679"/>
      <c r="R13" s="680">
        <v>24</v>
      </c>
      <c r="S13" s="680"/>
      <c r="T13" s="680"/>
      <c r="U13" s="680"/>
      <c r="V13" s="679">
        <v>2079</v>
      </c>
      <c r="W13" s="679"/>
      <c r="X13" s="679"/>
      <c r="Y13" s="679"/>
      <c r="Z13" s="680">
        <v>3</v>
      </c>
      <c r="AA13" s="680"/>
      <c r="AB13" s="680"/>
      <c r="AC13" s="680"/>
      <c r="AD13" s="680">
        <v>278</v>
      </c>
      <c r="AE13" s="680"/>
      <c r="AF13" s="680"/>
      <c r="AG13" s="681"/>
    </row>
    <row r="14" spans="1:33" ht="22.5" customHeight="1">
      <c r="A14" s="678" t="s">
        <v>274</v>
      </c>
      <c r="B14" s="685">
        <v>17</v>
      </c>
      <c r="C14" s="686"/>
      <c r="D14" s="686"/>
      <c r="E14" s="687"/>
      <c r="F14" s="679">
        <v>5967</v>
      </c>
      <c r="G14" s="679"/>
      <c r="H14" s="679"/>
      <c r="I14" s="679"/>
      <c r="J14" s="680">
        <v>16</v>
      </c>
      <c r="K14" s="680"/>
      <c r="L14" s="680"/>
      <c r="M14" s="680"/>
      <c r="N14" s="679">
        <v>5965</v>
      </c>
      <c r="O14" s="679"/>
      <c r="P14" s="679"/>
      <c r="Q14" s="679"/>
      <c r="R14" s="680">
        <v>1</v>
      </c>
      <c r="S14" s="680"/>
      <c r="T14" s="680"/>
      <c r="U14" s="680"/>
      <c r="V14" s="680">
        <v>2</v>
      </c>
      <c r="W14" s="680"/>
      <c r="X14" s="680"/>
      <c r="Y14" s="680"/>
      <c r="Z14" s="682">
        <v>0</v>
      </c>
      <c r="AA14" s="682"/>
      <c r="AB14" s="682"/>
      <c r="AC14" s="682"/>
      <c r="AD14" s="682">
        <v>0</v>
      </c>
      <c r="AE14" s="682"/>
      <c r="AF14" s="682"/>
      <c r="AG14" s="683"/>
    </row>
    <row r="15" spans="1:33" ht="22.5" customHeight="1">
      <c r="A15" s="678" t="s">
        <v>94</v>
      </c>
      <c r="B15" s="685">
        <v>93</v>
      </c>
      <c r="C15" s="686"/>
      <c r="D15" s="686"/>
      <c r="E15" s="687"/>
      <c r="F15" s="679">
        <v>15850</v>
      </c>
      <c r="G15" s="679"/>
      <c r="H15" s="679"/>
      <c r="I15" s="679"/>
      <c r="J15" s="680">
        <v>91</v>
      </c>
      <c r="K15" s="680"/>
      <c r="L15" s="680"/>
      <c r="M15" s="680"/>
      <c r="N15" s="679">
        <v>15690</v>
      </c>
      <c r="O15" s="679"/>
      <c r="P15" s="679"/>
      <c r="Q15" s="679"/>
      <c r="R15" s="680">
        <v>15</v>
      </c>
      <c r="S15" s="680"/>
      <c r="T15" s="680"/>
      <c r="U15" s="680"/>
      <c r="V15" s="680">
        <v>160</v>
      </c>
      <c r="W15" s="680"/>
      <c r="X15" s="680"/>
      <c r="Y15" s="680"/>
      <c r="Z15" s="682">
        <v>0</v>
      </c>
      <c r="AA15" s="682"/>
      <c r="AB15" s="682"/>
      <c r="AC15" s="682"/>
      <c r="AD15" s="682">
        <v>0</v>
      </c>
      <c r="AE15" s="682"/>
      <c r="AF15" s="682"/>
      <c r="AG15" s="683"/>
    </row>
    <row r="16" spans="1:33" ht="22.5" customHeight="1">
      <c r="A16" s="678" t="s">
        <v>275</v>
      </c>
      <c r="B16" s="688">
        <v>204</v>
      </c>
      <c r="C16" s="688"/>
      <c r="D16" s="688"/>
      <c r="E16" s="688"/>
      <c r="F16" s="679">
        <v>54800</v>
      </c>
      <c r="G16" s="679"/>
      <c r="H16" s="679"/>
      <c r="I16" s="679"/>
      <c r="J16" s="680">
        <v>184</v>
      </c>
      <c r="K16" s="680"/>
      <c r="L16" s="680"/>
      <c r="M16" s="680"/>
      <c r="N16" s="679">
        <v>53816</v>
      </c>
      <c r="O16" s="679"/>
      <c r="P16" s="679"/>
      <c r="Q16" s="679"/>
      <c r="R16" s="680">
        <v>35</v>
      </c>
      <c r="S16" s="680"/>
      <c r="T16" s="680"/>
      <c r="U16" s="680"/>
      <c r="V16" s="680">
        <v>899</v>
      </c>
      <c r="W16" s="680"/>
      <c r="X16" s="680"/>
      <c r="Y16" s="680"/>
      <c r="Z16" s="680">
        <v>2</v>
      </c>
      <c r="AA16" s="680"/>
      <c r="AB16" s="680"/>
      <c r="AC16" s="680"/>
      <c r="AD16" s="680">
        <v>85</v>
      </c>
      <c r="AE16" s="680"/>
      <c r="AF16" s="680"/>
      <c r="AG16" s="681"/>
    </row>
    <row r="17" spans="1:33" ht="22.5" customHeight="1">
      <c r="A17" s="678" t="s">
        <v>96</v>
      </c>
      <c r="B17" s="680">
        <v>141</v>
      </c>
      <c r="C17" s="680"/>
      <c r="D17" s="680"/>
      <c r="E17" s="680"/>
      <c r="F17" s="679">
        <v>32834</v>
      </c>
      <c r="G17" s="679"/>
      <c r="H17" s="679"/>
      <c r="I17" s="679"/>
      <c r="J17" s="680">
        <v>114</v>
      </c>
      <c r="K17" s="680"/>
      <c r="L17" s="680"/>
      <c r="M17" s="680"/>
      <c r="N17" s="679">
        <v>26543</v>
      </c>
      <c r="O17" s="679"/>
      <c r="P17" s="679"/>
      <c r="Q17" s="679"/>
      <c r="R17" s="680">
        <v>74</v>
      </c>
      <c r="S17" s="680"/>
      <c r="T17" s="680"/>
      <c r="U17" s="680"/>
      <c r="V17" s="679">
        <v>6291</v>
      </c>
      <c r="W17" s="679"/>
      <c r="X17" s="679"/>
      <c r="Y17" s="679"/>
      <c r="Z17" s="682">
        <v>0</v>
      </c>
      <c r="AA17" s="682"/>
      <c r="AB17" s="682"/>
      <c r="AC17" s="682"/>
      <c r="AD17" s="682">
        <v>0</v>
      </c>
      <c r="AE17" s="682"/>
      <c r="AF17" s="682"/>
      <c r="AG17" s="683"/>
    </row>
    <row r="18" spans="1:33" ht="22.5" customHeight="1" thickBot="1">
      <c r="A18" s="689" t="s">
        <v>97</v>
      </c>
      <c r="B18" s="690">
        <v>122</v>
      </c>
      <c r="C18" s="690"/>
      <c r="D18" s="690"/>
      <c r="E18" s="690"/>
      <c r="F18" s="691">
        <v>36237</v>
      </c>
      <c r="G18" s="691"/>
      <c r="H18" s="691"/>
      <c r="I18" s="691"/>
      <c r="J18" s="690">
        <v>112</v>
      </c>
      <c r="K18" s="690"/>
      <c r="L18" s="690"/>
      <c r="M18" s="690"/>
      <c r="N18" s="691">
        <v>35032</v>
      </c>
      <c r="O18" s="691"/>
      <c r="P18" s="691"/>
      <c r="Q18" s="691"/>
      <c r="R18" s="690">
        <v>21</v>
      </c>
      <c r="S18" s="690"/>
      <c r="T18" s="690"/>
      <c r="U18" s="690"/>
      <c r="V18" s="691">
        <v>1205</v>
      </c>
      <c r="W18" s="691"/>
      <c r="X18" s="691"/>
      <c r="Y18" s="691"/>
      <c r="Z18" s="692">
        <v>0</v>
      </c>
      <c r="AA18" s="692"/>
      <c r="AB18" s="692"/>
      <c r="AC18" s="692"/>
      <c r="AD18" s="692">
        <v>0</v>
      </c>
      <c r="AE18" s="692"/>
      <c r="AF18" s="692"/>
      <c r="AG18" s="693"/>
    </row>
    <row r="19" spans="1:33" ht="22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7" ht="19.5" customHeight="1">
      <c r="A20" s="17" t="s">
        <v>276</v>
      </c>
      <c r="AH20" s="27"/>
      <c r="AI20" s="27"/>
      <c r="AJ20" s="27"/>
      <c r="AK20" s="27"/>
    </row>
    <row r="21" spans="34:37" ht="11.25" customHeight="1" thickBot="1">
      <c r="AH21" s="27"/>
      <c r="AI21" s="27"/>
      <c r="AJ21" s="27"/>
      <c r="AK21" s="27"/>
    </row>
    <row r="22" spans="1:37" ht="24" customHeight="1">
      <c r="A22" s="126" t="s">
        <v>34</v>
      </c>
      <c r="B22" s="136" t="s">
        <v>19</v>
      </c>
      <c r="C22" s="136"/>
      <c r="D22" s="136"/>
      <c r="E22" s="136"/>
      <c r="F22" s="136"/>
      <c r="G22" s="136"/>
      <c r="H22" s="136"/>
      <c r="I22" s="136"/>
      <c r="J22" s="136" t="s">
        <v>241</v>
      </c>
      <c r="K22" s="136"/>
      <c r="L22" s="136"/>
      <c r="M22" s="136"/>
      <c r="N22" s="136"/>
      <c r="O22" s="136"/>
      <c r="P22" s="136"/>
      <c r="Q22" s="136"/>
      <c r="R22" s="136" t="s">
        <v>242</v>
      </c>
      <c r="S22" s="136"/>
      <c r="T22" s="136"/>
      <c r="U22" s="136"/>
      <c r="V22" s="316"/>
      <c r="W22" s="316"/>
      <c r="X22" s="316"/>
      <c r="Y22" s="316"/>
      <c r="Z22" s="316" t="s">
        <v>266</v>
      </c>
      <c r="AA22" s="316"/>
      <c r="AB22" s="316"/>
      <c r="AC22" s="316"/>
      <c r="AD22" s="316"/>
      <c r="AE22" s="316"/>
      <c r="AF22" s="316"/>
      <c r="AG22" s="317"/>
      <c r="AH22" s="27"/>
      <c r="AI22" s="27"/>
      <c r="AJ22" s="27"/>
      <c r="AK22" s="27"/>
    </row>
    <row r="23" spans="1:37" ht="14.25" customHeight="1">
      <c r="A23" s="140"/>
      <c r="B23" s="118" t="s">
        <v>267</v>
      </c>
      <c r="C23" s="118"/>
      <c r="D23" s="118"/>
      <c r="E23" s="118"/>
      <c r="F23" s="118" t="s">
        <v>268</v>
      </c>
      <c r="G23" s="118"/>
      <c r="H23" s="118"/>
      <c r="I23" s="118"/>
      <c r="J23" s="118" t="s">
        <v>259</v>
      </c>
      <c r="K23" s="118"/>
      <c r="L23" s="118"/>
      <c r="M23" s="118"/>
      <c r="N23" s="118" t="s">
        <v>268</v>
      </c>
      <c r="O23" s="118"/>
      <c r="P23" s="118"/>
      <c r="Q23" s="118"/>
      <c r="R23" s="118" t="s">
        <v>259</v>
      </c>
      <c r="S23" s="118"/>
      <c r="T23" s="118"/>
      <c r="U23" s="118"/>
      <c r="V23" s="118" t="s">
        <v>268</v>
      </c>
      <c r="W23" s="118"/>
      <c r="X23" s="118"/>
      <c r="Y23" s="118"/>
      <c r="Z23" s="258" t="s">
        <v>259</v>
      </c>
      <c r="AA23" s="259"/>
      <c r="AB23" s="259"/>
      <c r="AC23" s="260"/>
      <c r="AD23" s="419" t="s">
        <v>268</v>
      </c>
      <c r="AE23" s="209"/>
      <c r="AF23" s="209"/>
      <c r="AG23" s="210"/>
      <c r="AH23" s="27"/>
      <c r="AI23" s="27"/>
      <c r="AJ23" s="27"/>
      <c r="AK23" s="27"/>
    </row>
    <row r="24" spans="1:37" ht="18.75" customHeight="1">
      <c r="A24" s="674" t="s">
        <v>261</v>
      </c>
      <c r="B24" s="675" t="s">
        <v>263</v>
      </c>
      <c r="C24" s="675"/>
      <c r="D24" s="675"/>
      <c r="E24" s="675"/>
      <c r="F24" s="676" t="s">
        <v>262</v>
      </c>
      <c r="G24" s="676"/>
      <c r="H24" s="676"/>
      <c r="I24" s="676"/>
      <c r="J24" s="675" t="s">
        <v>263</v>
      </c>
      <c r="K24" s="675"/>
      <c r="L24" s="675"/>
      <c r="M24" s="675"/>
      <c r="N24" s="676" t="s">
        <v>262</v>
      </c>
      <c r="O24" s="676"/>
      <c r="P24" s="676"/>
      <c r="Q24" s="676"/>
      <c r="R24" s="675" t="s">
        <v>263</v>
      </c>
      <c r="S24" s="675"/>
      <c r="T24" s="675"/>
      <c r="U24" s="675"/>
      <c r="V24" s="676" t="s">
        <v>262</v>
      </c>
      <c r="W24" s="676"/>
      <c r="X24" s="676"/>
      <c r="Y24" s="676"/>
      <c r="Z24" s="675" t="s">
        <v>263</v>
      </c>
      <c r="AA24" s="675"/>
      <c r="AB24" s="675"/>
      <c r="AC24" s="675"/>
      <c r="AD24" s="694" t="s">
        <v>262</v>
      </c>
      <c r="AE24" s="695"/>
      <c r="AF24" s="695"/>
      <c r="AG24" s="696"/>
      <c r="AH24" s="27"/>
      <c r="AI24" s="27"/>
      <c r="AJ24" s="27"/>
      <c r="AK24" s="27"/>
    </row>
    <row r="25" spans="1:37" ht="22.5" customHeight="1">
      <c r="A25" s="678" t="s">
        <v>19</v>
      </c>
      <c r="B25" s="697">
        <f>SUM(B26:B37)</f>
        <v>519</v>
      </c>
      <c r="C25" s="697"/>
      <c r="D25" s="697"/>
      <c r="E25" s="697"/>
      <c r="F25" s="697">
        <f>SUM(F26:F37)</f>
        <v>33978</v>
      </c>
      <c r="G25" s="697"/>
      <c r="H25" s="697"/>
      <c r="I25" s="697"/>
      <c r="J25" s="268">
        <f>SUM(J26:J37)</f>
        <v>353</v>
      </c>
      <c r="K25" s="268"/>
      <c r="L25" s="268"/>
      <c r="M25" s="268"/>
      <c r="N25" s="697">
        <f>SUM(N26:N37)</f>
        <v>28215</v>
      </c>
      <c r="O25" s="697"/>
      <c r="P25" s="697"/>
      <c r="Q25" s="697"/>
      <c r="R25" s="268">
        <f>SUM(R26:R37)</f>
        <v>215</v>
      </c>
      <c r="S25" s="268"/>
      <c r="T25" s="268"/>
      <c r="U25" s="268"/>
      <c r="V25" s="697">
        <f>SUM(V26:V37)</f>
        <v>5664</v>
      </c>
      <c r="W25" s="697"/>
      <c r="X25" s="697"/>
      <c r="Y25" s="697"/>
      <c r="Z25" s="698">
        <v>5</v>
      </c>
      <c r="AA25" s="699"/>
      <c r="AB25" s="699"/>
      <c r="AC25" s="700"/>
      <c r="AD25" s="701">
        <v>99</v>
      </c>
      <c r="AE25" s="702"/>
      <c r="AF25" s="702"/>
      <c r="AG25" s="703"/>
      <c r="AH25" s="27"/>
      <c r="AI25" s="27"/>
      <c r="AJ25" s="27"/>
      <c r="AK25" s="27"/>
    </row>
    <row r="26" spans="1:37" ht="22.5" customHeight="1">
      <c r="A26" s="678" t="s">
        <v>86</v>
      </c>
      <c r="B26" s="268">
        <v>48</v>
      </c>
      <c r="C26" s="268"/>
      <c r="D26" s="268"/>
      <c r="E26" s="268"/>
      <c r="F26" s="697">
        <v>4529</v>
      </c>
      <c r="G26" s="697"/>
      <c r="H26" s="697"/>
      <c r="I26" s="697"/>
      <c r="J26" s="268">
        <v>45</v>
      </c>
      <c r="K26" s="268"/>
      <c r="L26" s="268"/>
      <c r="M26" s="268"/>
      <c r="N26" s="697">
        <v>4405</v>
      </c>
      <c r="O26" s="697"/>
      <c r="P26" s="697"/>
      <c r="Q26" s="697"/>
      <c r="R26" s="268">
        <v>8</v>
      </c>
      <c r="S26" s="268"/>
      <c r="T26" s="268"/>
      <c r="U26" s="268"/>
      <c r="V26" s="268">
        <v>124</v>
      </c>
      <c r="W26" s="268"/>
      <c r="X26" s="268"/>
      <c r="Y26" s="268"/>
      <c r="Z26" s="704">
        <v>0</v>
      </c>
      <c r="AA26" s="705"/>
      <c r="AB26" s="705"/>
      <c r="AC26" s="705"/>
      <c r="AD26" s="706">
        <v>0</v>
      </c>
      <c r="AE26" s="707"/>
      <c r="AF26" s="707"/>
      <c r="AG26" s="708"/>
      <c r="AH26" s="27"/>
      <c r="AI26" s="27"/>
      <c r="AJ26" s="27"/>
      <c r="AK26" s="27"/>
    </row>
    <row r="27" spans="1:37" ht="22.5" customHeight="1">
      <c r="A27" s="684" t="s">
        <v>69</v>
      </c>
      <c r="B27" s="268">
        <v>34</v>
      </c>
      <c r="C27" s="268"/>
      <c r="D27" s="268"/>
      <c r="E27" s="268"/>
      <c r="F27" s="697">
        <v>1983</v>
      </c>
      <c r="G27" s="697"/>
      <c r="H27" s="697"/>
      <c r="I27" s="697"/>
      <c r="J27" s="268">
        <v>25</v>
      </c>
      <c r="K27" s="268"/>
      <c r="L27" s="268"/>
      <c r="M27" s="268"/>
      <c r="N27" s="697">
        <v>1898</v>
      </c>
      <c r="O27" s="697"/>
      <c r="P27" s="697"/>
      <c r="Q27" s="697"/>
      <c r="R27" s="268">
        <v>15</v>
      </c>
      <c r="S27" s="268"/>
      <c r="T27" s="268"/>
      <c r="U27" s="268"/>
      <c r="V27" s="268">
        <v>85</v>
      </c>
      <c r="W27" s="268"/>
      <c r="X27" s="268"/>
      <c r="Y27" s="698"/>
      <c r="Z27" s="709">
        <v>0</v>
      </c>
      <c r="AA27" s="710"/>
      <c r="AB27" s="710"/>
      <c r="AC27" s="711"/>
      <c r="AD27" s="704">
        <v>0</v>
      </c>
      <c r="AE27" s="705"/>
      <c r="AF27" s="705"/>
      <c r="AG27" s="712"/>
      <c r="AH27" s="27"/>
      <c r="AI27" s="27"/>
      <c r="AJ27" s="27"/>
      <c r="AK27" s="27"/>
    </row>
    <row r="28" spans="1:37" ht="22.5" customHeight="1">
      <c r="A28" s="678" t="s">
        <v>269</v>
      </c>
      <c r="B28" s="268">
        <v>26</v>
      </c>
      <c r="C28" s="268"/>
      <c r="D28" s="268"/>
      <c r="E28" s="268"/>
      <c r="F28" s="697">
        <v>1455</v>
      </c>
      <c r="G28" s="697"/>
      <c r="H28" s="697"/>
      <c r="I28" s="697"/>
      <c r="J28" s="268">
        <v>20</v>
      </c>
      <c r="K28" s="268"/>
      <c r="L28" s="268"/>
      <c r="M28" s="268"/>
      <c r="N28" s="268">
        <v>1413</v>
      </c>
      <c r="O28" s="268"/>
      <c r="P28" s="268"/>
      <c r="Q28" s="268"/>
      <c r="R28" s="268">
        <v>6</v>
      </c>
      <c r="S28" s="268"/>
      <c r="T28" s="268"/>
      <c r="U28" s="268"/>
      <c r="V28" s="268">
        <v>42</v>
      </c>
      <c r="W28" s="268"/>
      <c r="X28" s="268"/>
      <c r="Y28" s="268"/>
      <c r="Z28" s="713">
        <v>0</v>
      </c>
      <c r="AA28" s="713"/>
      <c r="AB28" s="713"/>
      <c r="AC28" s="713"/>
      <c r="AD28" s="714">
        <v>0</v>
      </c>
      <c r="AE28" s="714"/>
      <c r="AF28" s="714"/>
      <c r="AG28" s="715"/>
      <c r="AH28" s="27"/>
      <c r="AI28" s="27"/>
      <c r="AJ28" s="27"/>
      <c r="AK28" s="27"/>
    </row>
    <row r="29" spans="1:37" ht="22.5" customHeight="1">
      <c r="A29" s="678" t="s">
        <v>270</v>
      </c>
      <c r="B29" s="268">
        <v>5</v>
      </c>
      <c r="C29" s="268"/>
      <c r="D29" s="268"/>
      <c r="E29" s="268"/>
      <c r="F29" s="268">
        <v>457</v>
      </c>
      <c r="G29" s="268"/>
      <c r="H29" s="268"/>
      <c r="I29" s="268"/>
      <c r="J29" s="268">
        <v>5</v>
      </c>
      <c r="K29" s="268"/>
      <c r="L29" s="268"/>
      <c r="M29" s="268"/>
      <c r="N29" s="268">
        <v>457</v>
      </c>
      <c r="O29" s="268"/>
      <c r="P29" s="268"/>
      <c r="Q29" s="268"/>
      <c r="R29" s="268">
        <v>0</v>
      </c>
      <c r="S29" s="268"/>
      <c r="T29" s="268"/>
      <c r="U29" s="268"/>
      <c r="V29" s="268">
        <v>0</v>
      </c>
      <c r="W29" s="268"/>
      <c r="X29" s="268"/>
      <c r="Y29" s="268"/>
      <c r="Z29" s="713">
        <v>0</v>
      </c>
      <c r="AA29" s="713"/>
      <c r="AB29" s="713"/>
      <c r="AC29" s="713"/>
      <c r="AD29" s="713">
        <v>0</v>
      </c>
      <c r="AE29" s="713"/>
      <c r="AF29" s="713"/>
      <c r="AG29" s="716"/>
      <c r="AH29" s="27"/>
      <c r="AI29" s="355"/>
      <c r="AJ29" s="27"/>
      <c r="AK29" s="27"/>
    </row>
    <row r="30" spans="1:37" ht="22.5" customHeight="1">
      <c r="A30" s="678" t="s">
        <v>271</v>
      </c>
      <c r="B30" s="268">
        <v>7</v>
      </c>
      <c r="C30" s="268"/>
      <c r="D30" s="268"/>
      <c r="E30" s="268"/>
      <c r="F30" s="268">
        <v>173</v>
      </c>
      <c r="G30" s="268"/>
      <c r="H30" s="268"/>
      <c r="I30" s="268"/>
      <c r="J30" s="268">
        <v>7</v>
      </c>
      <c r="K30" s="268"/>
      <c r="L30" s="268"/>
      <c r="M30" s="268"/>
      <c r="N30" s="268">
        <v>173</v>
      </c>
      <c r="O30" s="268"/>
      <c r="P30" s="268"/>
      <c r="Q30" s="268"/>
      <c r="R30" s="268">
        <v>0</v>
      </c>
      <c r="S30" s="268"/>
      <c r="T30" s="268"/>
      <c r="U30" s="268"/>
      <c r="V30" s="268">
        <v>0</v>
      </c>
      <c r="W30" s="268"/>
      <c r="X30" s="268"/>
      <c r="Y30" s="268"/>
      <c r="Z30" s="713">
        <v>0</v>
      </c>
      <c r="AA30" s="713"/>
      <c r="AB30" s="713"/>
      <c r="AC30" s="713"/>
      <c r="AD30" s="713">
        <v>0</v>
      </c>
      <c r="AE30" s="713"/>
      <c r="AF30" s="713"/>
      <c r="AG30" s="716"/>
      <c r="AH30" s="27"/>
      <c r="AI30" s="717"/>
      <c r="AJ30" s="27"/>
      <c r="AK30" s="27"/>
    </row>
    <row r="31" spans="1:37" ht="22.5" customHeight="1">
      <c r="A31" s="678" t="s">
        <v>272</v>
      </c>
      <c r="B31" s="268">
        <v>105</v>
      </c>
      <c r="C31" s="268"/>
      <c r="D31" s="268"/>
      <c r="E31" s="268"/>
      <c r="F31" s="697">
        <v>5122</v>
      </c>
      <c r="G31" s="697"/>
      <c r="H31" s="697"/>
      <c r="I31" s="697"/>
      <c r="J31" s="268">
        <v>68</v>
      </c>
      <c r="K31" s="268"/>
      <c r="L31" s="268"/>
      <c r="M31" s="268"/>
      <c r="N31" s="697">
        <v>3415</v>
      </c>
      <c r="O31" s="697"/>
      <c r="P31" s="697"/>
      <c r="Q31" s="697"/>
      <c r="R31" s="268">
        <v>53</v>
      </c>
      <c r="S31" s="268"/>
      <c r="T31" s="268"/>
      <c r="U31" s="268"/>
      <c r="V31" s="697">
        <v>1647</v>
      </c>
      <c r="W31" s="697"/>
      <c r="X31" s="697"/>
      <c r="Y31" s="697"/>
      <c r="Z31" s="713">
        <v>1</v>
      </c>
      <c r="AA31" s="713"/>
      <c r="AB31" s="713"/>
      <c r="AC31" s="713"/>
      <c r="AD31" s="713">
        <v>60</v>
      </c>
      <c r="AE31" s="713"/>
      <c r="AF31" s="713"/>
      <c r="AG31" s="716"/>
      <c r="AH31" s="27"/>
      <c r="AI31" s="27"/>
      <c r="AJ31" s="27"/>
      <c r="AK31" s="27"/>
    </row>
    <row r="32" spans="1:37" ht="22.5" customHeight="1">
      <c r="A32" s="678" t="s">
        <v>273</v>
      </c>
      <c r="B32" s="268">
        <v>53</v>
      </c>
      <c r="C32" s="268"/>
      <c r="D32" s="268"/>
      <c r="E32" s="268"/>
      <c r="F32" s="697">
        <v>1926</v>
      </c>
      <c r="G32" s="697"/>
      <c r="H32" s="697"/>
      <c r="I32" s="697"/>
      <c r="J32" s="268">
        <v>29</v>
      </c>
      <c r="K32" s="268"/>
      <c r="L32" s="268"/>
      <c r="M32" s="268"/>
      <c r="N32" s="697">
        <v>1204</v>
      </c>
      <c r="O32" s="697"/>
      <c r="P32" s="697"/>
      <c r="Q32" s="697"/>
      <c r="R32" s="268">
        <v>28</v>
      </c>
      <c r="S32" s="268"/>
      <c r="T32" s="268"/>
      <c r="U32" s="268"/>
      <c r="V32" s="268">
        <v>712</v>
      </c>
      <c r="W32" s="268"/>
      <c r="X32" s="268"/>
      <c r="Y32" s="268"/>
      <c r="Z32" s="268">
        <v>1</v>
      </c>
      <c r="AA32" s="268"/>
      <c r="AB32" s="268"/>
      <c r="AC32" s="268"/>
      <c r="AD32" s="268">
        <v>10</v>
      </c>
      <c r="AE32" s="268"/>
      <c r="AF32" s="268"/>
      <c r="AG32" s="269"/>
      <c r="AH32" s="27"/>
      <c r="AI32" s="27"/>
      <c r="AJ32" s="27"/>
      <c r="AK32" s="27"/>
    </row>
    <row r="33" spans="1:37" ht="22.5" customHeight="1">
      <c r="A33" s="678" t="s">
        <v>274</v>
      </c>
      <c r="B33" s="268">
        <v>4</v>
      </c>
      <c r="C33" s="268"/>
      <c r="D33" s="268"/>
      <c r="E33" s="268"/>
      <c r="F33" s="697">
        <v>252</v>
      </c>
      <c r="G33" s="697"/>
      <c r="H33" s="697"/>
      <c r="I33" s="697"/>
      <c r="J33" s="268">
        <v>3</v>
      </c>
      <c r="K33" s="268"/>
      <c r="L33" s="268"/>
      <c r="M33" s="268"/>
      <c r="N33" s="268">
        <v>249</v>
      </c>
      <c r="O33" s="268"/>
      <c r="P33" s="268"/>
      <c r="Q33" s="268"/>
      <c r="R33" s="268">
        <v>1</v>
      </c>
      <c r="S33" s="268"/>
      <c r="T33" s="268"/>
      <c r="U33" s="268"/>
      <c r="V33" s="268">
        <v>3</v>
      </c>
      <c r="W33" s="268"/>
      <c r="X33" s="268"/>
      <c r="Y33" s="268"/>
      <c r="Z33" s="713">
        <v>0</v>
      </c>
      <c r="AA33" s="713"/>
      <c r="AB33" s="713"/>
      <c r="AC33" s="713"/>
      <c r="AD33" s="713">
        <v>0</v>
      </c>
      <c r="AE33" s="713"/>
      <c r="AF33" s="713"/>
      <c r="AG33" s="716"/>
      <c r="AH33" s="27"/>
      <c r="AI33" s="27"/>
      <c r="AJ33" s="27"/>
      <c r="AK33" s="27"/>
    </row>
    <row r="34" spans="1:37" ht="22.5" customHeight="1">
      <c r="A34" s="678" t="s">
        <v>94</v>
      </c>
      <c r="B34" s="268">
        <v>21</v>
      </c>
      <c r="C34" s="268"/>
      <c r="D34" s="268"/>
      <c r="E34" s="268"/>
      <c r="F34" s="268">
        <v>1269</v>
      </c>
      <c r="G34" s="268"/>
      <c r="H34" s="268"/>
      <c r="I34" s="268"/>
      <c r="J34" s="268">
        <v>13</v>
      </c>
      <c r="K34" s="268"/>
      <c r="L34" s="268"/>
      <c r="M34" s="268"/>
      <c r="N34" s="268">
        <v>1194</v>
      </c>
      <c r="O34" s="268"/>
      <c r="P34" s="268"/>
      <c r="Q34" s="268"/>
      <c r="R34" s="268">
        <v>11</v>
      </c>
      <c r="S34" s="268"/>
      <c r="T34" s="268"/>
      <c r="U34" s="268"/>
      <c r="V34" s="268">
        <v>75</v>
      </c>
      <c r="W34" s="268"/>
      <c r="X34" s="268"/>
      <c r="Y34" s="268"/>
      <c r="Z34" s="713">
        <v>0</v>
      </c>
      <c r="AA34" s="713"/>
      <c r="AB34" s="713"/>
      <c r="AC34" s="713"/>
      <c r="AD34" s="713">
        <v>0</v>
      </c>
      <c r="AE34" s="713"/>
      <c r="AF34" s="713"/>
      <c r="AG34" s="716"/>
      <c r="AH34" s="27"/>
      <c r="AI34" s="27"/>
      <c r="AJ34" s="27"/>
      <c r="AK34" s="27"/>
    </row>
    <row r="35" spans="1:37" ht="22.5" customHeight="1">
      <c r="A35" s="678" t="s">
        <v>275</v>
      </c>
      <c r="B35" s="275">
        <v>56</v>
      </c>
      <c r="C35" s="275"/>
      <c r="D35" s="275"/>
      <c r="E35" s="275"/>
      <c r="F35" s="697">
        <v>3482</v>
      </c>
      <c r="G35" s="697"/>
      <c r="H35" s="697"/>
      <c r="I35" s="697"/>
      <c r="J35" s="268">
        <v>31</v>
      </c>
      <c r="K35" s="268"/>
      <c r="L35" s="268"/>
      <c r="M35" s="268"/>
      <c r="N35" s="697">
        <v>2947</v>
      </c>
      <c r="O35" s="697"/>
      <c r="P35" s="697"/>
      <c r="Q35" s="697"/>
      <c r="R35" s="268">
        <v>27</v>
      </c>
      <c r="S35" s="268"/>
      <c r="T35" s="268"/>
      <c r="U35" s="268"/>
      <c r="V35" s="268">
        <v>514</v>
      </c>
      <c r="W35" s="268"/>
      <c r="X35" s="268"/>
      <c r="Y35" s="268"/>
      <c r="Z35" s="713">
        <v>2</v>
      </c>
      <c r="AA35" s="713"/>
      <c r="AB35" s="713"/>
      <c r="AC35" s="713"/>
      <c r="AD35" s="713">
        <v>21</v>
      </c>
      <c r="AE35" s="713"/>
      <c r="AF35" s="713"/>
      <c r="AG35" s="716"/>
      <c r="AH35" s="27"/>
      <c r="AI35" s="27"/>
      <c r="AJ35" s="27"/>
      <c r="AK35" s="27"/>
    </row>
    <row r="36" spans="1:37" ht="22.5" customHeight="1">
      <c r="A36" s="678" t="s">
        <v>96</v>
      </c>
      <c r="B36" s="268">
        <v>85</v>
      </c>
      <c r="C36" s="268"/>
      <c r="D36" s="268"/>
      <c r="E36" s="268"/>
      <c r="F36" s="697">
        <v>7403</v>
      </c>
      <c r="G36" s="697"/>
      <c r="H36" s="697"/>
      <c r="I36" s="697"/>
      <c r="J36" s="268">
        <v>43</v>
      </c>
      <c r="K36" s="268"/>
      <c r="L36" s="268"/>
      <c r="M36" s="268"/>
      <c r="N36" s="697">
        <v>5302</v>
      </c>
      <c r="O36" s="697"/>
      <c r="P36" s="697"/>
      <c r="Q36" s="697"/>
      <c r="R36" s="268">
        <v>53</v>
      </c>
      <c r="S36" s="268"/>
      <c r="T36" s="268"/>
      <c r="U36" s="268"/>
      <c r="V36" s="697">
        <v>2093</v>
      </c>
      <c r="W36" s="697"/>
      <c r="X36" s="697"/>
      <c r="Y36" s="697"/>
      <c r="Z36" s="268">
        <v>1</v>
      </c>
      <c r="AA36" s="268"/>
      <c r="AB36" s="268"/>
      <c r="AC36" s="268"/>
      <c r="AD36" s="268">
        <v>8</v>
      </c>
      <c r="AE36" s="268"/>
      <c r="AF36" s="268"/>
      <c r="AG36" s="269"/>
      <c r="AH36" s="27"/>
      <c r="AI36" s="27"/>
      <c r="AJ36" s="27"/>
      <c r="AK36" s="27"/>
    </row>
    <row r="37" spans="1:37" ht="22.5" customHeight="1" thickBot="1">
      <c r="A37" s="689" t="s">
        <v>97</v>
      </c>
      <c r="B37" s="280">
        <v>75</v>
      </c>
      <c r="C37" s="280"/>
      <c r="D37" s="280"/>
      <c r="E37" s="280"/>
      <c r="F37" s="718">
        <v>5927</v>
      </c>
      <c r="G37" s="718"/>
      <c r="H37" s="718"/>
      <c r="I37" s="718"/>
      <c r="J37" s="280">
        <v>64</v>
      </c>
      <c r="K37" s="280"/>
      <c r="L37" s="280"/>
      <c r="M37" s="280"/>
      <c r="N37" s="718">
        <v>5558</v>
      </c>
      <c r="O37" s="718"/>
      <c r="P37" s="718"/>
      <c r="Q37" s="718"/>
      <c r="R37" s="280">
        <v>13</v>
      </c>
      <c r="S37" s="280"/>
      <c r="T37" s="280"/>
      <c r="U37" s="280"/>
      <c r="V37" s="280">
        <v>369</v>
      </c>
      <c r="W37" s="280"/>
      <c r="X37" s="280"/>
      <c r="Y37" s="280"/>
      <c r="Z37" s="719">
        <v>0</v>
      </c>
      <c r="AA37" s="719"/>
      <c r="AB37" s="719"/>
      <c r="AC37" s="719"/>
      <c r="AD37" s="719">
        <v>0</v>
      </c>
      <c r="AE37" s="719"/>
      <c r="AF37" s="719"/>
      <c r="AG37" s="720"/>
      <c r="AH37" s="27"/>
      <c r="AI37" s="27"/>
      <c r="AJ37" s="27"/>
      <c r="AK37" s="27"/>
    </row>
    <row r="38" spans="1:37" ht="22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ht="22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ht="22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ht="5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ht="13.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ht="13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ht="13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7" ht="13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1:37" ht="13.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ht="13.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ht="13.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ht="13.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13.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3.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3.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ht="13.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37" ht="13.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  <row r="55" spans="1:37" ht="13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3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3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1:3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7" ht="13.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1:37" ht="13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37" ht="13.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7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</row>
    <row r="64" spans="1:37" ht="13.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spans="1:37" ht="13.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</row>
    <row r="66" spans="1:37" ht="13.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1:37" ht="13.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</row>
    <row r="68" spans="1:37" ht="13.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ht="13.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:33" ht="13.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</row>
    <row r="71" spans="1:33" ht="13.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</row>
    <row r="72" spans="1:33" ht="13.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1:33" ht="13.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</row>
    <row r="74" spans="1:33" ht="13.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</row>
    <row r="75" spans="1:33" ht="13.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</row>
  </sheetData>
  <sheetProtection/>
  <mergeCells count="250">
    <mergeCell ref="Z36:AC36"/>
    <mergeCell ref="AD36:AG36"/>
    <mergeCell ref="B37:E37"/>
    <mergeCell ref="F37:I37"/>
    <mergeCell ref="J37:M37"/>
    <mergeCell ref="N37:Q37"/>
    <mergeCell ref="R37:U37"/>
    <mergeCell ref="V37:Y37"/>
    <mergeCell ref="Z37:AC37"/>
    <mergeCell ref="AD37:AG37"/>
    <mergeCell ref="B36:E36"/>
    <mergeCell ref="F36:I36"/>
    <mergeCell ref="J36:M36"/>
    <mergeCell ref="N36:Q36"/>
    <mergeCell ref="R36:U36"/>
    <mergeCell ref="V36:Y36"/>
    <mergeCell ref="Z34:AC34"/>
    <mergeCell ref="AD34:AG34"/>
    <mergeCell ref="B35:E35"/>
    <mergeCell ref="F35:I35"/>
    <mergeCell ref="J35:M35"/>
    <mergeCell ref="N35:Q35"/>
    <mergeCell ref="R35:U35"/>
    <mergeCell ref="V35:Y35"/>
    <mergeCell ref="Z35:AC35"/>
    <mergeCell ref="AD35:AG35"/>
    <mergeCell ref="B34:E34"/>
    <mergeCell ref="F34:I34"/>
    <mergeCell ref="J34:M34"/>
    <mergeCell ref="N34:Q34"/>
    <mergeCell ref="R34:U34"/>
    <mergeCell ref="V34:Y34"/>
    <mergeCell ref="Z32:AC32"/>
    <mergeCell ref="AD32:AG32"/>
    <mergeCell ref="B33:E33"/>
    <mergeCell ref="F33:I33"/>
    <mergeCell ref="J33:M33"/>
    <mergeCell ref="N33:Q33"/>
    <mergeCell ref="R33:U33"/>
    <mergeCell ref="V33:Y33"/>
    <mergeCell ref="Z33:AC33"/>
    <mergeCell ref="AD33:AG33"/>
    <mergeCell ref="B32:E32"/>
    <mergeCell ref="F32:I32"/>
    <mergeCell ref="J32:M32"/>
    <mergeCell ref="N32:Q32"/>
    <mergeCell ref="R32:U32"/>
    <mergeCell ref="V32:Y32"/>
    <mergeCell ref="Z30:AC30"/>
    <mergeCell ref="AD30:AG30"/>
    <mergeCell ref="B31:E31"/>
    <mergeCell ref="F31:I31"/>
    <mergeCell ref="J31:M31"/>
    <mergeCell ref="N31:Q31"/>
    <mergeCell ref="R31:U31"/>
    <mergeCell ref="V31:Y31"/>
    <mergeCell ref="Z31:AC31"/>
    <mergeCell ref="AD31:AG31"/>
    <mergeCell ref="B30:E30"/>
    <mergeCell ref="F30:I30"/>
    <mergeCell ref="J30:M30"/>
    <mergeCell ref="N30:Q30"/>
    <mergeCell ref="R30:U30"/>
    <mergeCell ref="V30:Y30"/>
    <mergeCell ref="Z28:AC28"/>
    <mergeCell ref="AD28:AG28"/>
    <mergeCell ref="B29:E29"/>
    <mergeCell ref="F29:I29"/>
    <mergeCell ref="J29:M29"/>
    <mergeCell ref="N29:Q29"/>
    <mergeCell ref="R29:U29"/>
    <mergeCell ref="V29:Y29"/>
    <mergeCell ref="Z29:AC29"/>
    <mergeCell ref="AD29:AG29"/>
    <mergeCell ref="B28:E28"/>
    <mergeCell ref="F28:I28"/>
    <mergeCell ref="J28:M28"/>
    <mergeCell ref="N28:Q28"/>
    <mergeCell ref="R28:U28"/>
    <mergeCell ref="V28:Y28"/>
    <mergeCell ref="Z26:AC26"/>
    <mergeCell ref="AD26:AG26"/>
    <mergeCell ref="B27:E27"/>
    <mergeCell ref="F27:I27"/>
    <mergeCell ref="J27:M27"/>
    <mergeCell ref="N27:Q27"/>
    <mergeCell ref="R27:U27"/>
    <mergeCell ref="V27:Y27"/>
    <mergeCell ref="Z27:AC27"/>
    <mergeCell ref="AD27:AG27"/>
    <mergeCell ref="B26:E26"/>
    <mergeCell ref="F26:I26"/>
    <mergeCell ref="J26:M26"/>
    <mergeCell ref="N26:Q26"/>
    <mergeCell ref="R26:U26"/>
    <mergeCell ref="V26:Y26"/>
    <mergeCell ref="AD24:AG24"/>
    <mergeCell ref="B25:E25"/>
    <mergeCell ref="F25:I25"/>
    <mergeCell ref="J25:M25"/>
    <mergeCell ref="N25:Q25"/>
    <mergeCell ref="R25:U25"/>
    <mergeCell ref="V25:Y25"/>
    <mergeCell ref="Z25:AC25"/>
    <mergeCell ref="AD25:AG25"/>
    <mergeCell ref="V23:Y23"/>
    <mergeCell ref="Z23:AC23"/>
    <mergeCell ref="AD23:AG23"/>
    <mergeCell ref="B24:E24"/>
    <mergeCell ref="F24:I24"/>
    <mergeCell ref="J24:M24"/>
    <mergeCell ref="N24:Q24"/>
    <mergeCell ref="R24:U24"/>
    <mergeCell ref="V24:Y24"/>
    <mergeCell ref="Z24:AC24"/>
    <mergeCell ref="A22:A23"/>
    <mergeCell ref="B22:I22"/>
    <mergeCell ref="J22:Q22"/>
    <mergeCell ref="R22:Y22"/>
    <mergeCell ref="Z22:AG22"/>
    <mergeCell ref="B23:E23"/>
    <mergeCell ref="F23:I23"/>
    <mergeCell ref="J23:M23"/>
    <mergeCell ref="N23:Q23"/>
    <mergeCell ref="R23:U23"/>
    <mergeCell ref="Z17:AC17"/>
    <mergeCell ref="AD17:AG17"/>
    <mergeCell ref="B18:E18"/>
    <mergeCell ref="F18:I18"/>
    <mergeCell ref="J18:M18"/>
    <mergeCell ref="N18:Q18"/>
    <mergeCell ref="R18:U18"/>
    <mergeCell ref="V18:Y18"/>
    <mergeCell ref="Z18:AC18"/>
    <mergeCell ref="AD18:AG18"/>
    <mergeCell ref="B17:E17"/>
    <mergeCell ref="F17:I17"/>
    <mergeCell ref="J17:M17"/>
    <mergeCell ref="N17:Q17"/>
    <mergeCell ref="R17:U17"/>
    <mergeCell ref="V17:Y17"/>
    <mergeCell ref="Z15:AC15"/>
    <mergeCell ref="AD15:AG15"/>
    <mergeCell ref="B16:E16"/>
    <mergeCell ref="F16:I16"/>
    <mergeCell ref="J16:M16"/>
    <mergeCell ref="N16:Q16"/>
    <mergeCell ref="R16:U16"/>
    <mergeCell ref="V16:Y16"/>
    <mergeCell ref="Z16:AC16"/>
    <mergeCell ref="AD16:AG16"/>
    <mergeCell ref="B15:E15"/>
    <mergeCell ref="F15:I15"/>
    <mergeCell ref="J15:M15"/>
    <mergeCell ref="N15:Q15"/>
    <mergeCell ref="R15:U15"/>
    <mergeCell ref="V15:Y15"/>
    <mergeCell ref="Z13:AC13"/>
    <mergeCell ref="AD13:AG13"/>
    <mergeCell ref="B14:E14"/>
    <mergeCell ref="F14:I14"/>
    <mergeCell ref="J14:M14"/>
    <mergeCell ref="N14:Q14"/>
    <mergeCell ref="R14:U14"/>
    <mergeCell ref="V14:Y14"/>
    <mergeCell ref="Z14:AC14"/>
    <mergeCell ref="AD14:AG14"/>
    <mergeCell ref="B13:E13"/>
    <mergeCell ref="F13:I13"/>
    <mergeCell ref="J13:M13"/>
    <mergeCell ref="N13:Q13"/>
    <mergeCell ref="R13:U13"/>
    <mergeCell ref="V13:Y13"/>
    <mergeCell ref="Z11:AC11"/>
    <mergeCell ref="AD11:AG11"/>
    <mergeCell ref="B12:E12"/>
    <mergeCell ref="F12:I12"/>
    <mergeCell ref="J12:M12"/>
    <mergeCell ref="N12:Q12"/>
    <mergeCell ref="R12:U12"/>
    <mergeCell ref="V12:Y12"/>
    <mergeCell ref="Z12:AC12"/>
    <mergeCell ref="AD12:AG12"/>
    <mergeCell ref="B11:E11"/>
    <mergeCell ref="F11:I11"/>
    <mergeCell ref="J11:M11"/>
    <mergeCell ref="N11:Q11"/>
    <mergeCell ref="R11:U11"/>
    <mergeCell ref="V11:Y11"/>
    <mergeCell ref="Z9:AC9"/>
    <mergeCell ref="AD9:AG9"/>
    <mergeCell ref="B10:E10"/>
    <mergeCell ref="F10:I10"/>
    <mergeCell ref="J10:M10"/>
    <mergeCell ref="N10:Q10"/>
    <mergeCell ref="R10:U10"/>
    <mergeCell ref="V10:Y10"/>
    <mergeCell ref="Z10:AC10"/>
    <mergeCell ref="AD10:AG10"/>
    <mergeCell ref="B9:E9"/>
    <mergeCell ref="F9:I9"/>
    <mergeCell ref="J9:M9"/>
    <mergeCell ref="N9:Q9"/>
    <mergeCell ref="R9:U9"/>
    <mergeCell ref="V9:Y9"/>
    <mergeCell ref="Z7:AC7"/>
    <mergeCell ref="AD7:AG7"/>
    <mergeCell ref="B8:E8"/>
    <mergeCell ref="F8:I8"/>
    <mergeCell ref="J8:M8"/>
    <mergeCell ref="N8:Q8"/>
    <mergeCell ref="R8:U8"/>
    <mergeCell ref="V8:Y8"/>
    <mergeCell ref="Z8:AC8"/>
    <mergeCell ref="AD8:AG8"/>
    <mergeCell ref="B7:E7"/>
    <mergeCell ref="F7:I7"/>
    <mergeCell ref="J7:M7"/>
    <mergeCell ref="N7:Q7"/>
    <mergeCell ref="R7:U7"/>
    <mergeCell ref="V7:Y7"/>
    <mergeCell ref="AD5:AG5"/>
    <mergeCell ref="B6:E6"/>
    <mergeCell ref="F6:I6"/>
    <mergeCell ref="J6:M6"/>
    <mergeCell ref="N6:Q6"/>
    <mergeCell ref="R6:U6"/>
    <mergeCell ref="V6:Y6"/>
    <mergeCell ref="Z6:AC6"/>
    <mergeCell ref="AD6:AG6"/>
    <mergeCell ref="V4:Y4"/>
    <mergeCell ref="Z4:AC4"/>
    <mergeCell ref="AD4:AG4"/>
    <mergeCell ref="B5:E5"/>
    <mergeCell ref="F5:I5"/>
    <mergeCell ref="J5:M5"/>
    <mergeCell ref="N5:Q5"/>
    <mergeCell ref="R5:U5"/>
    <mergeCell ref="V5:Y5"/>
    <mergeCell ref="Z5:AC5"/>
    <mergeCell ref="A3:A4"/>
    <mergeCell ref="B3:I3"/>
    <mergeCell ref="J3:Q3"/>
    <mergeCell ref="R3:Y3"/>
    <mergeCell ref="Z3:AG3"/>
    <mergeCell ref="B4:E4"/>
    <mergeCell ref="F4:I4"/>
    <mergeCell ref="J4:M4"/>
    <mergeCell ref="N4:Q4"/>
    <mergeCell ref="R4:U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&amp;C- 48 -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lan009</dc:creator>
  <cp:keywords/>
  <dc:description/>
  <cp:lastModifiedBy>新発田市</cp:lastModifiedBy>
  <cp:lastPrinted>2018-12-13T07:01:32Z</cp:lastPrinted>
  <dcterms:created xsi:type="dcterms:W3CDTF">2006-06-19T02:17:22Z</dcterms:created>
  <dcterms:modified xsi:type="dcterms:W3CDTF">2018-12-13T07:15:18Z</dcterms:modified>
  <cp:category/>
  <cp:version/>
  <cp:contentType/>
  <cp:contentStatus/>
</cp:coreProperties>
</file>